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6F8C374F-EB15-4380-87F0-7B58576D9000}" xr6:coauthVersionLast="47" xr6:coauthVersionMax="47" xr10:uidLastSave="{00000000-0000-0000-0000-000000000000}"/>
  <bookViews>
    <workbookView xWindow="-48" yWindow="-48" windowWidth="23136" windowHeight="12336" tabRatio="867" activeTab="1"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9" i="79"/>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<sst xmlns="http://schemas.openxmlformats.org/spreadsheetml/2006/main" count="7084" uniqueCount="2589">
  <si>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</si>
  <si>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</si>
  <si>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</si>
  <si>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</si>
  <si>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</si>
  <si>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</si>
  <si>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</si>
  <si>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</si>
  <si>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</si>
  <si>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</si>
  <si>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</si>
  <si>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</si>
  <si>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</si>
  <si>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</si>
  <si>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</si>
  <si>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</si>
  <si>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</si>
  <si>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</si>
  <si>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</si>
  <si>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</si>
  <si>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</si>
  <si>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</si>
  <si>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</si>
  <si>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</si>
  <si>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</si>
  <si>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</si>
  <si>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</si>
  <si>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</si>
  <si>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</si>
  <si>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</si>
  <si>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</si>
  <si>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</si>
  <si>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</si>
  <si>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</si>
  <si>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</si>
  <si>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</si>
  <si>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</si>
  <si>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</si>
  <si>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</si>
  <si>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</si>
  <si>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</si>
  <si>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</si>
  <si>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</si>
  <si>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</si>
  <si>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</si>
  <si>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</si>
  <si>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</si>
  <si>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</si>
  <si>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</si>
  <si>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</si>
  <si>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</si>
  <si>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</si>
  <si>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</si>
  <si>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</si>
  <si>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</si>
  <si>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</si>
  <si>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</si>
  <si>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</si>
  <si>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</si>
  <si>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</si>
  <si>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</si>
  <si>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</si>
  <si>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</si>
  <si>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</si>
  <si>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</si>
  <si>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</si>
  <si>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</si>
  <si>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</si>
  <si>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</si>
  <si>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</si>
  <si>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</si>
  <si>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</si>
  <si>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</si>
  <si>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</si>
  <si>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</si>
  <si>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</si>
  <si>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</si>
  <si>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</si>
  <si>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</si>
  <si>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</si>
  <si>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</si>
  <si>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</si>
  <si>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</si>
  <si>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</si>
  <si>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</si>
  <si>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</si>
  <si>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</si>
  <si>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</si>
  <si>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</si>
  <si>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</si>
  <si>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</si>
  <si>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</si>
  <si>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</si>
  <si>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</si>
  <si>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</si>
  <si>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</si>
  <si>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</si>
  <si>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</si>
  <si>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</si>
  <si>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</si>
  <si>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</si>
  <si>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</si>
  <si>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</si>
  <si>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</si>
  <si>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</si>
  <si>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</si>
  <si>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</si>
  <si>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</si>
  <si>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</si>
  <si>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</si>
  <si>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</si>
  <si>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</si>
  <si>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</si>
  <si>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</si>
  <si>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</si>
  <si>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</si>
  <si>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</si>
  <si>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</si>
  <si>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</si>
  <si>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</si>
  <si>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</si>
  <si>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</si>
  <si>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</si>
  <si>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</si>
  <si>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</si>
  <si>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</si>
  <si>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</si>
  <si>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</si>
  <si>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</si>
  <si>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</si>
  <si>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</si>
  <si>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</si>
  <si>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</si>
  <si>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</si>
  <si>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</si>
  <si>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</si>
  <si>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</si>
  <si>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</si>
  <si>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</si>
  <si>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</si>
  <si>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</si>
  <si>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</si>
  <si>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</si>
  <si>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</si>
  <si>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</si>
  <si>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</si>
  <si>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</si>
  <si>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</si>
  <si>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</si>
  <si>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</si>
  <si>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</si>
  <si>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</si>
  <si>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</si>
  <si>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</si>
  <si>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</si>
  <si>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</si>
  <si>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</si>
  <si>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</si>
  <si>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</si>
  <si>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</si>
  <si>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</si>
  <si>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</si>
  <si>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</si>
  <si>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</si>
  <si>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</si>
  <si>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</si>
  <si>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</si>
  <si>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</si>
  <si>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</si>
  <si>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</si>
  <si>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</si>
  <si>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</si>
  <si>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</si>
  <si>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</si>
  <si>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</si>
  <si>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</si>
  <si>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</si>
  <si>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</si>
  <si>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</si>
  <si>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</si>
  <si>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</si>
  <si>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</si>
  <si>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</si>
  <si>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</si>
  <si>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</si>
  <si>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</si>
  <si>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</si>
  <si>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</si>
  <si>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</si>
  <si>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</si>
  <si>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</si>
  <si>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</si>
  <si>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</si>
  <si>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</si>
  <si>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</si>
  <si>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</si>
  <si>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</si>
  <si>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</si>
  <si>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</si>
  <si>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</si>
  <si>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</si>
  <si>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</si>
  <si>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</si>
  <si>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</si>
  <si>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</si>
  <si>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</si>
  <si>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</si>
  <si>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</si>
  <si>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</si>
  <si>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</si>
  <si>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</si>
  <si>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</si>
  <si>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</si>
  <si>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</si>
  <si>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</si>
  <si>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</si>
  <si>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</si>
  <si>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</si>
  <si>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</si>
  <si>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</si>
  <si>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</si>
  <si>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</si>
  <si>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</si>
  <si>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</si>
  <si>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</si>
  <si>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</si>
  <si>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</si>
  <si>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</si>
  <si>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</si>
  <si>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</si>
  <si>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</si>
  <si>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</si>
  <si>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</si>
  <si>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</si>
  <si>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</si>
  <si>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</si>
  <si>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</si>
  <si>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</si>
  <si>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</si>
  <si>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</si>
  <si>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</si>
  <si>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</si>
  <si>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</si>
  <si>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</si>
  <si>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</si>
  <si>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</si>
  <si>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</si>
  <si>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</si>
  <si>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</si>
  <si>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</si>
  <si>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</si>
  <si>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</si>
  <si>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</si>
  <si>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</si>
  <si>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</si>
  <si>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</si>
  <si>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</si>
  <si>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</si>
  <si>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</si>
  <si>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</si>
  <si>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</si>
  <si>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</si>
  <si>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</si>
  <si>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</si>
  <si>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</si>
  <si>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</si>
  <si>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</si>
  <si>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</si>
  <si>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</si>
  <si>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</si>
  <si>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</si>
  <si>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</si>
  <si>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</si>
  <si>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</si>
  <si>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</si>
  <si>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</si>
  <si>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</si>
  <si>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</si>
  <si>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</si>
  <si>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</si>
  <si>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</si>
  <si>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</si>
  <si>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</si>
  <si>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</si>
  <si>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</si>
  <si>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</si>
  <si>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</si>
  <si>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</si>
  <si>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</si>
  <si>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</si>
  <si>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</si>
  <si>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</si>
  <si>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</si>
  <si>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</si>
  <si>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</si>
  <si>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</si>
  <si>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</si>
  <si>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</si>
  <si>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</si>
  <si>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</si>
  <si>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</si>
  <si>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</si>
  <si>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</si>
  <si>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</si>
  <si>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</si>
  <si>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</si>
  <si>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</si>
  <si>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</si>
  <si>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</si>
  <si>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</si>
  <si>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</si>
  <si>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</si>
  <si>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</si>
  <si>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</si>
  <si>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</si>
  <si>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</si>
  <si>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</si>
  <si>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</si>
  <si>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</si>
  <si>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</si>
  <si>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</si>
  <si>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</si>
  <si>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</si>
  <si>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</si>
  <si>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</si>
  <si>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</si>
  <si>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</si>
  <si>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</si>
  <si>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</si>
  <si>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</si>
  <si>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</si>
  <si>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</si>
  <si>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</si>
  <si>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</si>
  <si>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</si>
  <si>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</si>
  <si>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</si>
  <si>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</si>
  <si>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</si>
  <si>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</si>
  <si>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</si>
  <si>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</si>
  <si>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</si>
  <si>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</si>
  <si>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</si>
  <si>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</si>
  <si>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</si>
  <si>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</si>
  <si>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</si>
  <si>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</si>
  <si>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</si>
  <si>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</si>
  <si>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</si>
  <si>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</si>
  <si>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</si>
  <si>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</si>
  <si>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</si>
  <si>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</si>
  <si>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</si>
  <si>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</si>
  <si>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</si>
  <si>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</si>
  <si>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</si>
  <si>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</si>
  <si>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</si>
  <si>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</si>
  <si>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</si>
  <si>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</si>
  <si>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</si>
  <si>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</si>
  <si>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</si>
  <si>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</si>
  <si>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</si>
  <si>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</si>
  <si>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</si>
  <si>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</si>
  <si>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</si>
  <si>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</si>
  <si>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</si>
  <si>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</si>
  <si>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</si>
  <si>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</si>
  <si>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</si>
  <si>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</si>
  <si>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</si>
  <si>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</si>
  <si>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</si>
  <si>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</si>
  <si>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</si>
  <si>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</si>
  <si>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</si>
  <si>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</si>
  <si>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</si>
  <si>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</si>
  <si>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</si>
  <si>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</si>
  <si>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</si>
  <si>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</si>
  <si>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</si>
  <si>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</si>
  <si>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</si>
  <si>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</si>
  <si>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</si>
  <si>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</si>
  <si>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</si>
  <si>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</si>
  <si>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</si>
  <si>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</si>
  <si>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</si>
  <si>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</si>
  <si>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</si>
  <si>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</si>
  <si>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</si>
  <si>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</si>
  <si>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</si>
  <si>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</si>
  <si>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</si>
  <si>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</si>
  <si>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</si>
  <si>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</si>
  <si>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</si>
  <si>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</si>
  <si>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</si>
  <si>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</si>
  <si>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</si>
  <si>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</si>
  <si>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</si>
  <si>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</si>
  <si>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</si>
  <si>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</si>
  <si>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</si>
  <si>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</si>
  <si>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</si>
  <si>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</si>
  <si>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</si>
  <si>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</si>
  <si>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</si>
  <si>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</si>
  <si>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</si>
  <si>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</si>
  <si>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</si>
  <si>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</si>
  <si>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</si>
  <si>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</si>
  <si>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</si>
  <si>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</si>
  <si>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</si>
  <si>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</si>
  <si>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</si>
  <si>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</si>
  <si>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</si>
  <si>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</si>
  <si>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</si>
  <si>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</si>
  <si>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</si>
  <si>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</si>
  <si>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</si>
  <si>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</si>
  <si>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</si>
  <si>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</si>
  <si>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</si>
  <si>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</si>
  <si>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</si>
  <si>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</si>
  <si>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</si>
  <si>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</si>
  <si>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</si>
  <si>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</si>
  <si>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</si>
  <si>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</si>
  <si>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</si>
  <si>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</si>
  <si>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</si>
  <si>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</si>
  <si>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</si>
  <si>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</si>
  <si>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</si>
  <si>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</si>
  <si>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</si>
  <si>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</si>
  <si>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</si>
  <si>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</si>
  <si>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</si>
  <si>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</si>
  <si>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</si>
  <si>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</si>
  <si>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</si>
  <si>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</si>
  <si>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</si>
  <si>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</si>
  <si>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</si>
  <si>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</si>
  <si>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</si>
  <si>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</si>
  <si>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</si>
  <si>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</si>
  <si>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</si>
  <si>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</si>
  <si>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</si>
  <si>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</si>
  <si>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</si>
  <si>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</si>
  <si>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</si>
  <si>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</si>
  <si>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</si>
  <si>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</si>
  <si>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</si>
  <si>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</si>
  <si>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</si>
  <si>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</si>
  <si>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</si>
  <si>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</si>
  <si>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</si>
  <si>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</si>
  <si>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</si>
  <si>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</si>
  <si>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</si>
  <si>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</si>
  <si>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</si>
  <si>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</si>
  <si>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</si>
  <si>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</si>
  <si>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</si>
  <si>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</si>
  <si>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</si>
  <si>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</si>
  <si>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</si>
  <si>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</si>
  <si>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</si>
  <si>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</si>
  <si>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</si>
  <si>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</si>
  <si>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</si>
  <si>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</si>
  <si>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</si>
  <si>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</si>
  <si>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</si>
  <si>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</si>
  <si>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</si>
  <si>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</si>
  <si>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</si>
  <si>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</si>
  <si>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</si>
  <si>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</si>
  <si>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</si>
  <si>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</si>
  <si>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</si>
  <si>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</si>
  <si>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</si>
  <si>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</si>
  <si>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</si>
  <si>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</si>
  <si>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</si>
  <si>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</si>
  <si>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</si>
  <si>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</si>
  <si>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</si>
  <si>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</si>
  <si>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</si>
  <si>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</si>
  <si>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</si>
  <si>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</si>
  <si>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</si>
  <si>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</si>
  <si>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</si>
  <si>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</si>
  <si>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</si>
  <si>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</si>
  <si>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</si>
  <si>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</si>
  <si>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</si>
  <si>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</si>
  <si>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</si>
  <si>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</si>
  <si>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</si>
  <si>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</si>
  <si>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</si>
  <si>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</si>
  <si>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</si>
  <si>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</si>
  <si>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</si>
  <si>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</si>
  <si>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</si>
  <si>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</si>
  <si>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</si>
  <si>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</si>
  <si>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</si>
  <si>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</si>
  <si>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</si>
  <si>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</si>
  <si>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</si>
  <si>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</si>
  <si>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</si>
  <si>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</si>
  <si>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</si>
  <si>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</si>
  <si>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</si>
  <si>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</si>
  <si>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</si>
  <si>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</si>
  <si>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</si>
  <si>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</si>
  <si>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</si>
  <si>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</si>
  <si>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</si>
  <si>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</si>
  <si>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</si>
  <si>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</si>
  <si>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</si>
  <si>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</si>
  <si>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</si>
  <si>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</si>
  <si>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</si>
  <si>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</si>
  <si>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</si>
  <si>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</si>
  <si>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</si>
  <si>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</si>
  <si>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</si>
  <si>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</si>
  <si>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</si>
  <si>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</si>
  <si>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</si>
  <si>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</si>
  <si>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</si>
  <si>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</si>
  <si>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</si>
  <si>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</si>
  <si>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</si>
  <si>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</si>
  <si>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</si>
  <si>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</si>
  <si>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</si>
  <si>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</si>
  <si>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</si>
  <si>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</si>
  <si>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</si>
  <si>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</si>
  <si>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</si>
  <si>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</si>
  <si>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</si>
  <si>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</si>
  <si>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</si>
  <si>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</si>
  <si>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</si>
  <si>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</si>
  <si>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</si>
  <si>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</si>
  <si>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</si>
  <si>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</si>
  <si>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</si>
  <si>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</si>
  <si>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</si>
  <si>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</si>
  <si>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</si>
  <si>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</si>
  <si>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</si>
  <si>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</si>
  <si>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</si>
  <si>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</si>
  <si>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</si>
  <si>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</si>
  <si>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</si>
  <si>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</si>
  <si>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</si>
  <si>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</si>
  <si>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</si>
  <si>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</si>
  <si>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</si>
  <si>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</si>
  <si>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</si>
  <si>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</si>
  <si>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</si>
  <si>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</si>
  <si>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</si>
  <si>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</si>
  <si>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</si>
  <si>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</si>
  <si>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</si>
  <si>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</si>
  <si>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</si>
  <si>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</si>
  <si>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</si>
  <si>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</si>
  <si>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</si>
  <si>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</si>
  <si>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</si>
  <si>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</si>
  <si>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</si>
  <si>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</si>
  <si>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</si>
  <si>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</si>
  <si>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</si>
  <si>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</si>
  <si>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</si>
  <si>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</si>
  <si>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</si>
  <si>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</si>
  <si>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</si>
  <si>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</si>
  <si>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</si>
  <si>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</si>
  <si>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</si>
  <si>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</si>
  <si>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</si>
  <si>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</si>
  <si>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</si>
  <si>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</si>
  <si>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</si>
  <si>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</si>
  <si>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</si>
  <si>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</si>
  <si>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</si>
  <si>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</si>
  <si>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</si>
  <si>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</si>
  <si>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</si>
  <si>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</si>
  <si>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</si>
  <si>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</si>
  <si>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</si>
  <si>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</si>
  <si>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</si>
  <si>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</si>
  <si>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</si>
  <si>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</si>
  <si>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</si>
  <si>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</si>
  <si>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</si>
  <si>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</si>
  <si>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</si>
  <si>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</si>
  <si>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</si>
  <si>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</si>
  <si>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</si>
  <si>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</si>
  <si>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</si>
  <si>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</si>
  <si>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</si>
  <si>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</si>
  <si>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</si>
  <si>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</si>
  <si>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</si>
  <si>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</si>
  <si>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</si>
  <si>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</si>
  <si>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</si>
  <si>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</si>
  <si>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</si>
  <si>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</si>
  <si>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</si>
  <si>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</si>
  <si>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</si>
  <si>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</si>
  <si>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</si>
  <si>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</si>
  <si>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</si>
  <si>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</si>
  <si>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</si>
  <si>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</si>
  <si>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</si>
  <si>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</si>
  <si>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</si>
  <si>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</si>
  <si>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</si>
  <si>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</si>
  <si>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</si>
  <si>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</si>
  <si>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</si>
  <si>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</si>
  <si>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</si>
  <si>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</si>
  <si>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</si>
  <si>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</si>
  <si>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</si>
  <si>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</si>
  <si>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</si>
  <si>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</si>
  <si>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</si>
  <si>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</si>
  <si>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</si>
  <si>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</si>
  <si>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</si>
  <si>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</si>
  <si>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</si>
  <si>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</si>
  <si>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</si>
  <si>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</si>
  <si>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</si>
  <si>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</si>
  <si>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</si>
  <si>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</si>
  <si>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</si>
  <si>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</si>
  <si>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</si>
  <si>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</si>
  <si>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</si>
  <si>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</si>
  <si>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</si>
  <si>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</si>
  <si>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</si>
  <si>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</si>
  <si>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</si>
  <si>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</si>
  <si>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</si>
  <si>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</si>
  <si>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</si>
  <si>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</si>
  <si>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</si>
  <si>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</si>
  <si>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</si>
  <si>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</si>
  <si>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</si>
  <si>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</si>
  <si>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</si>
  <si>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</si>
  <si>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</si>
  <si>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</si>
  <si>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</si>
  <si>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</si>
  <si>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</si>
  <si>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</si>
  <si>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</si>
  <si>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</si>
  <si>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</si>
  <si>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</si>
  <si>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</si>
  <si>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</si>
  <si>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</si>
  <si>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</si>
  <si>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</si>
  <si>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</si>
  <si>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</si>
  <si>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</si>
  <si>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</si>
  <si>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</si>
  <si>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</si>
  <si>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</si>
  <si>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</si>
  <si>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</si>
  <si>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</si>
  <si>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</si>
  <si>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</si>
  <si>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</si>
  <si>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</si>
  <si>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</si>
  <si>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</si>
  <si>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</si>
  <si>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</si>
  <si>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</si>
  <si>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</si>
  <si>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</si>
  <si>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</si>
  <si>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</si>
  <si>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</si>
  <si>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</si>
  <si>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</si>
  <si>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</si>
  <si>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</si>
  <si>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</si>
  <si>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</si>
  <si>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</si>
  <si>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</si>
  <si>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</si>
  <si>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</si>
  <si>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</si>
  <si>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</si>
  <si>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</si>
  <si>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</si>
  <si>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</si>
  <si>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</si>
  <si>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</si>
  <si>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</si>
  <si>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</si>
  <si>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</si>
  <si>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</si>
  <si>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</si>
  <si>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</si>
  <si>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</si>
  <si>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</si>
  <si>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</si>
  <si>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</si>
  <si>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</si>
  <si>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</si>
  <si>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</si>
  <si>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</si>
  <si>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</si>
  <si>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</si>
  <si>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</si>
  <si>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</si>
  <si>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</si>
  <si>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</si>
  <si>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</si>
  <si>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</si>
  <si>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</si>
  <si>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</si>
  <si>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</si>
  <si>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</si>
  <si>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</si>
  <si>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</si>
  <si>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</si>
  <si>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</si>
  <si>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</si>
  <si>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</si>
  <si>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</si>
  <si>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</si>
  <si>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</si>
  <si>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</si>
  <si>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</si>
  <si>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</si>
  <si>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</si>
  <si>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</si>
  <si>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</si>
  <si>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</si>
  <si>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</si>
  <si>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</si>
  <si>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</si>
  <si>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</si>
  <si>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</si>
  <si>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</si>
  <si>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</si>
  <si>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</si>
  <si>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</si>
  <si>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</si>
  <si>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</si>
  <si>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</si>
  <si>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</si>
  <si>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</si>
  <si>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</si>
  <si>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</si>
  <si>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</si>
  <si>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</si>
  <si>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</si>
  <si>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</si>
  <si>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</si>
  <si>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</si>
  <si>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</si>
  <si>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</si>
  <si>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</si>
  <si>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</si>
  <si>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</si>
  <si>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</si>
  <si>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</si>
  <si>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</si>
  <si>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</si>
  <si>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</si>
  <si>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</si>
  <si>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</si>
  <si>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</si>
  <si>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</si>
  <si>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</si>
  <si>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</si>
  <si>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</si>
  <si>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</si>
  <si>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</si>
  <si>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</si>
  <si>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</si>
  <si>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</si>
  <si>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</si>
  <si>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</si>
  <si>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</si>
  <si>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</si>
  <si>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</si>
  <si>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</si>
  <si>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</si>
  <si>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</si>
  <si>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</si>
  <si>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</si>
  <si>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</si>
  <si>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</si>
  <si>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</si>
  <si>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</si>
  <si>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</si>
  <si>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</si>
  <si>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</si>
  <si>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</si>
  <si>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</si>
  <si>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</si>
  <si>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</si>
  <si>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</si>
  <si>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</si>
  <si>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</si>
  <si>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</si>
  <si>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</si>
  <si>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</si>
  <si>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</si>
  <si>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</si>
  <si>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</si>
  <si>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</si>
  <si>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</si>
  <si>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</si>
  <si>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</si>
  <si>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</si>
  <si>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</si>
  <si>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</si>
  <si>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</si>
  <si>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</si>
  <si>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</si>
  <si>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</si>
  <si>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</si>
  <si>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</si>
  <si>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</si>
  <si>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</si>
  <si>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</si>
  <si>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</si>
  <si>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</si>
  <si>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</si>
  <si>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</si>
  <si>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</si>
  <si>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</si>
  <si>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</si>
  <si>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</si>
  <si>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</si>
  <si>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</si>
  <si>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</si>
  <si>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</si>
  <si>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</si>
  <si>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</si>
  <si>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</si>
  <si>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</si>
  <si>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</si>
  <si>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</si>
  <si>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</si>
  <si>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</si>
  <si>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</si>
  <si>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</si>
  <si>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</si>
  <si>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</si>
  <si>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</si>
  <si>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</si>
  <si>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</si>
  <si>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</si>
  <si>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</si>
  <si>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</si>
  <si>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</si>
  <si>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</si>
  <si>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</si>
  <si>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</si>
  <si>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</si>
  <si>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</si>
  <si>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</si>
  <si>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</si>
  <si>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</si>
  <si>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</si>
  <si>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</si>
  <si>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</si>
  <si>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</si>
  <si>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</si>
  <si>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</si>
  <si>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</si>
  <si>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</si>
  <si>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</si>
  <si>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</si>
  <si>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</si>
  <si>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</si>
  <si>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</si>
  <si>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</si>
  <si>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</si>
  <si>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</si>
  <si>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</si>
  <si>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</si>
  <si>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</si>
  <si>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</si>
  <si>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</si>
  <si>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</si>
  <si>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</si>
  <si>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</si>
  <si>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</si>
  <si>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</si>
  <si>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</si>
  <si>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</si>
  <si>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</si>
  <si>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</si>
  <si>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</si>
  <si>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</si>
  <si>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</si>
  <si>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</si>
  <si>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</si>
  <si>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</si>
  <si>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</si>
  <si>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</si>
  <si>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</si>
  <si>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</si>
  <si>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</si>
  <si>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</si>
  <si>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</si>
  <si>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</si>
  <si>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</si>
  <si>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</si>
  <si>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</si>
  <si>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</si>
  <si>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</si>
  <si>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</si>
  <si>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</si>
  <si>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</si>
  <si>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</si>
  <si>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</si>
  <si>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</si>
  <si>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</si>
  <si>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</si>
  <si>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</si>
  <si>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</si>
  <si>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</si>
  <si>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</si>
  <si>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</si>
  <si>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</si>
  <si>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</si>
  <si>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</si>
  <si>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</si>
  <si>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</si>
  <si>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</si>
  <si>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</si>
  <si>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</si>
  <si>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</si>
  <si>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</si>
  <si>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</si>
  <si>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</si>
  <si>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</si>
  <si>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</si>
  <si>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</si>
  <si>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</si>
  <si>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</si>
  <si>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</si>
  <si>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</si>
  <si>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</si>
  <si>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</si>
  <si>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</si>
  <si>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</si>
  <si>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</si>
  <si>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</si>
  <si>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</si>
  <si>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</si>
  <si>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</si>
  <si>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</si>
  <si>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</si>
  <si>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</si>
  <si>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</si>
  <si>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</si>
  <si>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</si>
  <si>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</si>
  <si>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</si>
  <si>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</si>
  <si>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</si>
  <si>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</si>
  <si>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</si>
  <si>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</si>
  <si>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</si>
  <si>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</si>
  <si>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</si>
  <si>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</si>
  <si>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</si>
  <si>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</si>
  <si>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</si>
  <si>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</si>
  <si>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</si>
  <si>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</si>
  <si>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</si>
  <si>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</si>
  <si>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</si>
  <si>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</si>
  <si>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</si>
  <si>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</si>
  <si>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</si>
  <si>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</si>
  <si>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</si>
  <si>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</si>
  <si>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</si>
  <si>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</si>
  <si>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</si>
  <si>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</si>
  <si>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</si>
  <si>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</si>
  <si>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</si>
  <si>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</si>
  <si>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</si>
  <si>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</si>
  <si>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</si>
  <si>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</si>
  <si>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</si>
  <si>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</si>
  <si>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</si>
  <si>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</si>
  <si>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</si>
  <si>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</si>
  <si>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</si>
  <si>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</si>
  <si>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</si>
  <si>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</si>
  <si>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</si>
  <si>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</si>
  <si>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</si>
  <si>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</si>
  <si>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</si>
  <si>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</si>
  <si>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</si>
  <si>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</si>
  <si>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</si>
  <si>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</si>
  <si>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</si>
  <si>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</si>
  <si>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</si>
  <si>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</si>
  <si>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</si>
  <si>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</si>
  <si>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</si>
  <si>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</si>
  <si>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</si>
  <si>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</si>
  <si>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</si>
  <si>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</si>
  <si>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</si>
  <si>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</si>
  <si>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</si>
  <si>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</si>
  <si>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</si>
  <si>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</si>
  <si>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</si>
  <si>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</si>
  <si>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</si>
  <si>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</si>
  <si>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</si>
  <si>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</si>
  <si>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</si>
  <si>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</si>
  <si>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</si>
  <si>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</si>
  <si>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</si>
  <si>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</si>
  <si>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</si>
  <si>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</si>
  <si>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</si>
  <si>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</si>
  <si>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</si>
  <si>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</si>
  <si>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</si>
  <si>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</si>
  <si>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</si>
  <si>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</si>
  <si>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</si>
  <si>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</si>
  <si>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</si>
  <si>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</si>
  <si>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</si>
  <si>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</si>
  <si>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</si>
  <si>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</si>
  <si>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</si>
  <si>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</si>
  <si>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</si>
  <si>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</si>
  <si>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</si>
  <si>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</si>
  <si>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</si>
  <si>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</si>
  <si>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</si>
  <si>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</si>
  <si>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</si>
  <si>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</si>
  <si>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</si>
  <si>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</si>
  <si>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</si>
  <si>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</si>
  <si>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</si>
  <si>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</si>
  <si>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</si>
  <si>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</si>
  <si>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</si>
  <si>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</si>
  <si>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</si>
  <si>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</si>
  <si>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</si>
  <si>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</si>
  <si>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</si>
  <si>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</si>
  <si>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</si>
  <si>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</si>
  <si>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</si>
  <si>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</si>
  <si>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</si>
  <si>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</si>
  <si>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</si>
  <si>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</si>
  <si>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</si>
  <si>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</si>
  <si>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</si>
  <si>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</si>
  <si>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</si>
  <si>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</si>
  <si>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</si>
  <si>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</si>
  <si>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</si>
  <si>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</si>
  <si>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</si>
  <si>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</si>
  <si>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</si>
  <si>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</si>
  <si>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</si>
  <si>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</si>
  <si>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</si>
  <si>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</si>
  <si>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</si>
  <si>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</si>
  <si>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</si>
  <si>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</si>
  <si>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</si>
  <si>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</si>
  <si>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</si>
  <si>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</si>
  <si>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</si>
  <si>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</si>
  <si>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</si>
  <si>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</si>
  <si>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</si>
  <si>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</si>
  <si>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</si>
  <si>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</si>
  <si>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</si>
  <si>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</si>
  <si>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</si>
  <si>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</si>
  <si>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</si>
  <si>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</si>
  <si>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</si>
  <si>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</si>
  <si>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</si>
  <si>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</si>
  <si>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</si>
  <si>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</si>
  <si>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</si>
  <si>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</si>
  <si>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</si>
  <si>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</si>
  <si>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</si>
  <si>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</si>
  <si>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</si>
  <si>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</si>
  <si>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</si>
  <si>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</si>
  <si>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</si>
  <si>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</si>
  <si>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</si>
  <si>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</si>
  <si>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</si>
  <si>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</si>
  <si>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</si>
  <si>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</si>
  <si>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</si>
  <si>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</si>
  <si>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</si>
  <si>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</si>
  <si>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</si>
  <si>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</si>
  <si>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</si>
  <si>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</si>
  <si>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</si>
  <si>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</si>
  <si>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</si>
  <si>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</si>
  <si>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</si>
  <si>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</si>
  <si>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</si>
  <si>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</si>
  <si>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</si>
  <si>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</si>
  <si>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</si>
  <si>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</si>
  <si>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</si>
  <si>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</si>
  <si>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</si>
  <si>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</si>
  <si>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</si>
  <si>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</si>
  <si>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</si>
  <si>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</si>
  <si>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</si>
  <si>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</si>
  <si>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</si>
  <si>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</si>
  <si>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</si>
  <si>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</si>
  <si>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</si>
  <si>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</si>
  <si>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</si>
  <si>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</si>
  <si>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</si>
  <si>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</si>
  <si>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</si>
  <si>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</si>
  <si>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</si>
  <si>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</si>
  <si>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</si>
  <si>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</si>
  <si>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</si>
  <si>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</si>
  <si>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</si>
  <si>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</si>
  <si>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</si>
  <si>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</si>
  <si>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</si>
  <si>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</si>
  <si>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</si>
  <si>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</si>
  <si>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</si>
  <si>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</si>
  <si>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</si>
  <si>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</si>
  <si>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</si>
  <si>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</si>
  <si>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</si>
  <si>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</si>
  <si>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</si>
  <si>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</si>
  <si>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</si>
  <si>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</si>
  <si>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</si>
  <si>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</si>
  <si>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</si>
  <si>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</si>
  <si>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</si>
  <si>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</si>
  <si>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</si>
  <si>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</si>
  <si>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</si>
  <si>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</si>
  <si>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</si>
  <si>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</si>
  <si>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</si>
  <si>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</si>
  <si>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</si>
  <si>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</si>
  <si>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</si>
  <si>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</si>
  <si>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</si>
  <si>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</si>
  <si>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</si>
  <si>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</si>
  <si>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</si>
  <si>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</si>
  <si>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</si>
  <si>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</si>
  <si>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</si>
  <si>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</si>
  <si>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</si>
  <si>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</si>
  <si>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</si>
  <si>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</si>
  <si>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</si>
  <si>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</si>
  <si>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</si>
  <si>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</si>
  <si>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</si>
  <si>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</si>
  <si>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</si>
  <si>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</si>
  <si>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</si>
  <si>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</si>
  <si>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</si>
  <si>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</si>
  <si>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</si>
  <si>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</si>
  <si>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</si>
  <si>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</si>
  <si>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</si>
  <si>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</si>
  <si>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</si>
  <si>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</si>
  <si>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</si>
  <si>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</si>
  <si>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</si>
  <si>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</si>
  <si>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</si>
  <si>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</si>
  <si>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</si>
  <si>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</si>
  <si>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</si>
  <si>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</si>
  <si>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</si>
  <si>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</si>
  <si>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</si>
  <si>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</si>
  <si>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</si>
  <si>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</si>
  <si>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</si>
  <si>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</si>
  <si>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</si>
  <si>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</si>
  <si>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</si>
  <si>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</si>
  <si>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</si>
  <si>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</si>
  <si>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</si>
  <si>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</si>
  <si>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</si>
  <si>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</si>
  <si>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</si>
  <si>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</si>
  <si>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</si>
  <si>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</si>
  <si>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</si>
  <si>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</si>
  <si>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</si>
  <si>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</si>
  <si>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</si>
  <si>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</si>
  <si>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</si>
  <si>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</si>
  <si>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</si>
  <si>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</si>
  <si>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</si>
  <si>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</si>
  <si>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</si>
  <si>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</si>
  <si>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</si>
  <si>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</si>
  <si>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</si>
  <si>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</si>
  <si>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</si>
  <si>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</si>
  <si>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</si>
  <si>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</si>
  <si>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</si>
  <si>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</si>
  <si>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</si>
  <si>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</si>
  <si>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</si>
  <si>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</si>
  <si>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</si>
  <si>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</si>
  <si>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</si>
  <si>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</si>
  <si>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</si>
  <si>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</si>
  <si>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</si>
  <si>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</si>
  <si>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</si>
  <si>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</si>
  <si>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</si>
  <si>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</si>
  <si>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</si>
  <si>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</si>
  <si>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</si>
  <si>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</si>
  <si>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</si>
  <si>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</si>
  <si>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</si>
  <si>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</si>
  <si>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</si>
  <si>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</si>
  <si>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</si>
  <si>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</si>
  <si>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</si>
  <si>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</si>
  <si>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</si>
  <si>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</si>
  <si>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</si>
  <si>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</si>
  <si>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</si>
  <si>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</si>
  <si>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</si>
  <si>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</si>
  <si>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</si>
  <si>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</si>
  <si>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</si>
  <si>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</si>
  <si>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</si>
  <si>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</si>
  <si>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</si>
  <si>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</si>
  <si>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</si>
  <si>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</si>
  <si>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</si>
  <si>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</si>
  <si>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</si>
  <si>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</si>
  <si>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</si>
  <si>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</si>
  <si>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</si>
  <si>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</si>
  <si>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</si>
  <si>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</si>
  <si>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</si>
  <si>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</si>
  <si>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</si>
  <si>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</si>
  <si>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</si>
  <si>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</si>
  <si>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</si>
  <si>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</si>
  <si>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</si>
  <si>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</si>
  <si>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</si>
  <si>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</si>
  <si>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</si>
  <si>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</si>
  <si>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</si>
  <si>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</si>
  <si>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</si>
  <si>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</si>
  <si>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</si>
  <si>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</si>
  <si>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</si>
  <si>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</si>
  <si>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</si>
  <si>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</si>
  <si>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</si>
  <si>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</si>
  <si>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</si>
  <si>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</si>
  <si>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</si>
  <si>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</si>
  <si>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</si>
  <si>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</si>
  <si>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</si>
  <si>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</si>
  <si>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</si>
  <si>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</si>
  <si>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</si>
  <si>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</si>
  <si>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</si>
  <si>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</si>
  <si>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</si>
  <si>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</si>
  <si>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</si>
  <si>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</si>
  <si>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</si>
  <si>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</si>
  <si>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</si>
  <si>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</si>
  <si>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</si>
  <si>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</si>
  <si>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</si>
  <si>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</si>
  <si>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</si>
  <si>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</si>
  <si>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</si>
  <si>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</si>
  <si>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</si>
  <si>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</si>
  <si>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</si>
  <si>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</si>
  <si>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</si>
  <si>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</si>
  <si>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</si>
  <si>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</si>
  <si>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</si>
  <si>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</si>
  <si>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</si>
  <si>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</si>
  <si>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</si>
  <si>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</si>
  <si>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</si>
  <si>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</si>
  <si>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</si>
  <si>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</si>
  <si>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</si>
  <si>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</si>
  <si>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</si>
  <si>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</si>
  <si>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</si>
  <si>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</si>
  <si>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</si>
  <si>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</si>
  <si>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</si>
  <si>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</si>
  <si>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</si>
  <si>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</si>
  <si>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</si>
  <si>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</si>
  <si>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</si>
  <si>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</si>
  <si>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</si>
  <si>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</si>
  <si>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</si>
  <si>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</si>
  <si>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</si>
  <si>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</si>
  <si>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</si>
  <si>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</si>
  <si>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</si>
  <si>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</si>
  <si>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</si>
  <si>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</si>
  <si>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</si>
  <si>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</si>
  <si>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</si>
  <si>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</si>
  <si>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</si>
  <si>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</si>
  <si>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</si>
  <si>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</si>
  <si>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</si>
  <si>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</si>
  <si>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</si>
  <si>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</si>
  <si>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</si>
  <si>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</si>
  <si>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</si>
  <si>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</si>
  <si>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</si>
  <si>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</si>
  <si>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</si>
  <si>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</si>
  <si>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</si>
  <si>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</si>
  <si>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</si>
  <si>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</si>
  <si>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</si>
  <si>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</si>
  <si>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</si>
  <si>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</si>
  <si>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</si>
  <si>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</si>
  <si>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</si>
  <si>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</si>
  <si>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</si>
  <si>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</si>
  <si>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</si>
  <si>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</si>
  <si>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</si>
  <si>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</si>
  <si>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</si>
  <si>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</si>
  <si>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</si>
  <si>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</si>
  <si>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</si>
  <si>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</si>
  <si>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</si>
  <si>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</si>
  <si>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</si>
  <si>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</si>
  <si>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</si>
  <si>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</si>
  <si>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</si>
  <si>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</si>
  <si>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</si>
  <si>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</si>
  <si>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</si>
  <si>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</si>
  <si>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</si>
  <si>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</si>
  <si>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</si>
  <si>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</si>
  <si>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</si>
  <si>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</si>
  <si>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</si>
  <si>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</si>
  <si>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</si>
  <si>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</si>
  <si>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</si>
  <si>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</si>
  <si>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</si>
  <si>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</si>
  <si>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</si>
  <si>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</si>
  <si>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</si>
  <si>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</si>
  <si>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</si>
  <si>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</si>
  <si>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</si>
  <si>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</si>
  <si>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</si>
  <si>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</si>
  <si>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</si>
  <si>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</si>
  <si>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</si>
  <si>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</si>
  <si>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</si>
  <si>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</si>
  <si>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</si>
  <si>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</si>
  <si>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</si>
  <si>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</si>
  <si>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</si>
  <si>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</si>
  <si>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</si>
  <si>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</si>
  <si>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</si>
  <si>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</si>
  <si>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</si>
  <si>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</si>
  <si>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</si>
  <si>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</si>
  <si>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</si>
  <si>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</si>
  <si>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</si>
  <si>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</si>
  <si>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</si>
  <si>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</si>
  <si>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</si>
  <si>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</si>
  <si>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</si>
  <si>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</si>
  <si>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</si>
  <si>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</si>
  <si>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</si>
  <si>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</si>
  <si>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</si>
  <si>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</si>
  <si>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</si>
  <si>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</si>
  <si>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</si>
  <si>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</si>
  <si>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</si>
  <si>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</si>
  <si>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</si>
  <si>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</si>
  <si>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</si>
  <si>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</si>
  <si>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</si>
  <si>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</si>
  <si>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</si>
  <si>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</si>
  <si>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</si>
  <si>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</si>
  <si>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</si>
  <si>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</si>
  <si>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</si>
  <si>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</si>
  <si>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</si>
  <si>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</si>
  <si>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</si>
  <si>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</si>
  <si>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</si>
  <si>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</si>
  <si>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</si>
  <si>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</si>
  <si>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</si>
  <si>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</si>
  <si>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</si>
  <si>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</si>
  <si>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</si>
  <si>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</si>
  <si>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</si>
  <si>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</si>
  <si>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</si>
  <si>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</si>
  <si>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</si>
  <si>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</si>
  <si>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</si>
  <si>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</si>
  <si>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</si>
  <si>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</si>
  <si>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</si>
  <si>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</si>
  <si>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</si>
  <si>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</si>
  <si>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</si>
  <si>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</si>
  <si>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</si>
  <si>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</si>
  <si>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</si>
  <si>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</si>
  <si>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</si>
  <si>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</si>
  <si>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</si>
  <si>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</si>
  <si>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</si>
  <si>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</si>
  <si>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</si>
  <si>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</si>
  <si>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</si>
  <si>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</si>
  <si>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</si>
  <si>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</si>
  <si>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</si>
  <si>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</si>
  <si>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</si>
  <si>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</si>
  <si>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</si>
  <si>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</si>
  <si>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</si>
  <si>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</si>
  <si>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</si>
  <si>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</si>
  <si>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</si>
  <si>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</si>
  <si>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</si>
  <si>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</si>
  <si>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</si>
  <si>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</si>
  <si>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</si>
  <si>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</si>
  <si>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</si>
  <si>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</si>
  <si>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</si>
  <si>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</si>
  <si>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</si>
  <si>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</si>
  <si>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</si>
  <si>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</si>
  <si>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</si>
  <si>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</si>
  <si>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</si>
  <si>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</si>
  <si>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</si>
  <si>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</si>
  <si>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</si>
  <si>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</si>
  <si>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</si>
  <si>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</si>
  <si>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</si>
  <si>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</si>
  <si>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</si>
  <si>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</si>
  <si>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</si>
  <si>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</si>
  <si>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</si>
  <si>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</si>
  <si>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</si>
  <si>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</si>
  <si>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</si>
  <si>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</si>
  <si>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</si>
  <si>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</si>
  <si>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</si>
  <si>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</si>
  <si>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</si>
  <si>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</si>
  <si>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</si>
  <si>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</si>
  <si>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</si>
  <si>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</si>
  <si>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</si>
  <si>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</si>
  <si>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</si>
  <si>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</si>
  <si>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</si>
  <si>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</si>
  <si>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</si>
  <si>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</si>
  <si>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</si>
  <si>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</si>
  <si>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</si>
  <si>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</si>
  <si>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</si>
  <si>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</si>
  <si>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</si>
  <si>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</si>
  <si>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</si>
  <si>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</si>
  <si>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</si>
  <si>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</si>
  <si>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</si>
  <si>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</si>
  <si>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</si>
  <si>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</si>
  <si>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</si>
  <si>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</si>
  <si>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</si>
  <si>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</si>
  <si>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</si>
  <si>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</si>
  <si>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</si>
  <si>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</si>
  <si>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</si>
  <si>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</si>
  <si>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</si>
  <si>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</si>
  <si>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</si>
  <si>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</si>
  <si>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</si>
  <si>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</si>
  <si>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</si>
  <si>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</si>
  <si>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</si>
  <si>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</si>
  <si>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</si>
  <si>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</si>
  <si>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</si>
  <si>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</si>
  <si>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</si>
  <si>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</si>
  <si>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</si>
  <si>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</si>
  <si>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</si>
  <si>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</si>
  <si>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</si>
  <si>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</si>
  <si>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</si>
  <si>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</si>
  <si>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</si>
  <si>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</si>
  <si>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</si>
  <si>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</si>
  <si>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</si>
  <si>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</si>
  <si>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</si>
  <si>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</si>
  <si>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</si>
  <si>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</si>
  <si>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</si>
  <si>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</si>
  <si>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</si>
  <si>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</si>
  <si>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</si>
  <si>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</si>
  <si>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</si>
  <si>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</si>
  <si>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</si>
  <si>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</si>
  <si>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</si>
  <si>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</si>
  <si>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</si>
  <si>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</si>
  <si>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</si>
  <si>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</si>
  <si>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</si>
  <si>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</si>
  <si>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</si>
  <si>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</si>
  <si>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</si>
  <si>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</si>
  <si>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</si>
  <si>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</si>
  <si>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</si>
  <si>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</si>
  <si>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</si>
  <si>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</si>
  <si>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</si>
  <si>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</si>
  <si>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</si>
  <si>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</si>
  <si>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</si>
  <si>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</si>
  <si>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</si>
  <si>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</si>
  <si>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</si>
  <si>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</si>
  <si>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</si>
  <si>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</si>
  <si>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</si>
  <si>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</si>
  <si>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</si>
  <si>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</si>
  <si>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</si>
  <si>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</si>
  <si>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</si>
  <si>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</si>
  <si>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</si>
  <si>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</si>
  <si>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</si>
  <si>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</si>
  <si>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</si>
  <si>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</si>
  <si>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</si>
  <si>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</si>
  <si>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</si>
  <si>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</si>
  <si>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</si>
  <si>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</si>
  <si>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</si>
  <si>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</si>
  <si>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</si>
  <si>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</si>
  <si>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</si>
  <si>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</si>
  <si>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</si>
  <si>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</si>
  <si>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</si>
  <si>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</si>
  <si>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</si>
  <si>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</si>
  <si>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</si>
  <si>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</si>
  <si>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</si>
  <si>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</si>
  <si>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</si>
  <si>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</si>
  <si>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</si>
  <si>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</si>
  <si>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</si>
  <si>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</si>
  <si>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</si>
  <si>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</si>
  <si>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</si>
  <si>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</si>
  <si>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</si>
  <si>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</si>
  <si>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</si>
  <si>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</si>
  <si>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</si>
  <si>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</si>
  <si>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</si>
  <si>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</si>
  <si>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</si>
  <si>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</si>
  <si>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</si>
  <si>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</si>
  <si>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</si>
  <si>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</si>
  <si>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</si>
  <si>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</si>
  <si>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</si>
  <si>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</si>
  <si>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</si>
  <si>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</si>
  <si>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</si>
  <si>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</si>
  <si>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</si>
  <si>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</si>
  <si>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</si>
  <si>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</si>
  <si>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</si>
  <si>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</si>
  <si>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</si>
  <si>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</si>
  <si>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</si>
  <si>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</si>
  <si>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</si>
  <si>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</si>
  <si>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</si>
  <si>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</si>
  <si>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</si>
  <si>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</si>
  <si>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</si>
  <si>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</si>
  <si>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</si>
  <si>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</si>
  <si>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</si>
  <si>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</si>
  <si>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</si>
  <si>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</si>
  <si>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</si>
  <si>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</si>
  <si>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</si>
  <si>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</si>
  <si>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</si>
  <si>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</si>
  <si>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</si>
  <si>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</si>
  <si>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</si>
  <si>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</si>
  <si>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</si>
  <si>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</si>
  <si>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</si>
  <si>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</si>
  <si>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</si>
  <si>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</si>
  <si>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</si>
  <si>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</si>
  <si>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</si>
  <si>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</si>
  <si>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</si>
  <si>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</si>
  <si>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</si>
  <si>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</si>
  <si>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</si>
  <si>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</si>
  <si>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</si>
  <si>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</si>
  <si>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</si>
  <si>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</si>
  <si>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</si>
  <si>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</si>
  <si>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</si>
  <si>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</si>
  <si>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</si>
  <si>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</si>
  <si>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</si>
  <si>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</si>
  <si>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</si>
  <si>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</si>
  <si>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</si>
  <si>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</si>
  <si>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</si>
  <si>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</si>
  <si>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</si>
  <si>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</si>
  <si>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</si>
  <si>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</si>
  <si>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</si>
  <si>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</si>
  <si>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</si>
  <si>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</si>
  <si>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</si>
  <si>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</si>
  <si>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</si>
  <si>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</si>
  <si>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</si>
  <si>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</si>
  <si>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</si>
  <si>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</si>
  <si>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</si>
  <si>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</si>
  <si>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</si>
  <si>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</si>
  <si>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</si>
  <si>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</si>
  <si>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</si>
  <si>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</si>
  <si>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</si>
  <si>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</si>
  <si>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</si>
  <si>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</si>
  <si>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</si>
  <si>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</si>
  <si>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</si>
  <si>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</si>
  <si>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</si>
  <si>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</si>
  <si>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</si>
  <si>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</si>
  <si>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</si>
  <si>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</si>
  <si>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</si>
  <si>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</si>
  <si>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</si>
  <si>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</si>
  <si>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</si>
  <si>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</si>
  <si>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</si>
  <si>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</si>
  <si>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</si>
  <si>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</si>
  <si>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</si>
  <si>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</si>
  <si>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</si>
  <si>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</si>
  <si>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</si>
  <si>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</si>
  <si>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</si>
  <si>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</si>
  <si>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</si>
  <si>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</si>
  <si>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</si>
  <si>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</si>
  <si>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</si>
  <si>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</si>
  <si>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</si>
  <si>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</si>
  <si>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</si>
  <si>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</si>
  <si>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</si>
  <si>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</si>
  <si>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</si>
  <si>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</si>
  <si>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</si>
  <si>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</si>
  <si>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</si>
  <si>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</si>
  <si>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</si>
  <si>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</si>
  <si>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</si>
  <si>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</si>
  <si>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</si>
  <si>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</si>
  <si>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</si>
  <si>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</si>
  <si>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</si>
  <si>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</si>
  <si>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</si>
  <si>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</si>
  <si>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</si>
  <si>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</si>
  <si>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</si>
  <si>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</si>
  <si>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</si>
  <si>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</si>
  <si>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</si>
  <si>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</si>
  <si>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</si>
  <si>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</si>
  <si>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</si>
  <si>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</si>
  <si>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</si>
  <si>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</si>
  <si>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</si>
  <si>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</si>
  <si>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</si>
  <si>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</si>
  <si>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</si>
  <si>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</si>
  <si>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</si>
  <si>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</si>
  <si>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</si>
  <si>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</si>
  <si>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</si>
  <si>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</si>
  <si>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</si>
  <si>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</si>
  <si>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</si>
  <si>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</si>
  <si>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</si>
  <si>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</si>
  <si>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</si>
  <si>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</si>
  <si>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</si>
  <si>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</si>
  <si>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</si>
  <si>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</si>
  <si>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</si>
  <si>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</si>
  <si>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</si>
  <si>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</si>
  <si>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</si>
  <si>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</si>
  <si>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</si>
  <si>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</si>
  <si>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</si>
  <si>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</si>
  <si>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</si>
  <si>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</si>
  <si>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</si>
  <si>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</si>
  <si>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</si>
  <si>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</si>
  <si>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</si>
  <si>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</si>
  <si>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</si>
  <si>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</si>
  <si>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</si>
  <si>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</si>
  <si>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</si>
  <si>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</si>
  <si>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</si>
  <si>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</si>
  <si>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</si>
  <si>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</si>
  <si>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</si>
  <si>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</si>
  <si>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</si>
  <si>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</si>
  <si>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</si>
  <si>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</si>
  <si>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</si>
  <si>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</si>
  <si>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</si>
  <si>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</si>
  <si>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</si>
  <si>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</si>
  <si>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</si>
  <si>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</si>
  <si>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</si>
  <si>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</si>
  <si>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</si>
  <si>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</si>
  <si>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</si>
  <si>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</si>
  <si>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</si>
  <si>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</si>
  <si>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</si>
  <si>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</si>
  <si>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</si>
  <si>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</si>
  <si>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</si>
  <si>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</si>
  <si>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</si>
  <si>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</si>
  <si>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</si>
  <si>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</si>
  <si>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</si>
  <si>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</si>
  <si>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</si>
  <si>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</si>
  <si>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</si>
  <si>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</si>
  <si>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</si>
  <si>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</si>
  <si>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</si>
  <si>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</si>
  <si>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</si>
  <si>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</si>
  <si>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</si>
  <si>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</si>
  <si>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</si>
  <si>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</si>
  <si>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</si>
  <si>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</si>
  <si>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</si>
  <si>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</si>
  <si>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</si>
  <si>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</si>
  <si>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</si>
  <si>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</si>
  <si>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</si>
  <si>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</si>
  <si>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</si>
  <si>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</si>
  <si>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</si>
  <si>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</si>
  <si>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</si>
  <si>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</si>
  <si>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</si>
  <si>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</si>
  <si>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</si>
  <si>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</si>
  <si>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</si>
  <si>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</si>
  <si>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</si>
  <si>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</si>
  <si>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</si>
  <si>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</si>
  <si>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</si>
  <si>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</si>
  <si>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</si>
  <si>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</si>
  <si>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</si>
  <si>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</si>
  <si>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</si>
  <si>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</si>
  <si>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</si>
  <si>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</si>
  <si>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</si>
  <si>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</si>
  <si>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</si>
  <si>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</si>
  <si>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</si>
  <si>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</si>
  <si>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</si>
  <si>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</si>
  <si>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</si>
  <si>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</si>
  <si>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</si>
  <si>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</si>
  <si>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</si>
  <si>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</si>
  <si>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</si>
  <si>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</si>
  <si>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</si>
  <si>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</si>
  <si>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</si>
  <si>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</si>
  <si>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</si>
  <si>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</si>
  <si>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</si>
  <si>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</si>
  <si>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</si>
  <si>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</si>
  <si>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</si>
  <si>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</si>
  <si>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</si>
  <si>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</si>
  <si>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</si>
  <si>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</si>
  <si>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</si>
  <si>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</si>
  <si>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</si>
  <si>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</si>
  <si>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</si>
  <si>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</si>
  <si>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</si>
  <si>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</si>
  <si>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</si>
  <si>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</si>
  <si>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</si>
  <si>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</si>
  <si>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</si>
  <si>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</si>
  <si>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</si>
  <si>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</si>
  <si>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</si>
  <si>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</si>
  <si>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</si>
  <si>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</si>
  <si>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</si>
  <si>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</si>
  <si>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</si>
  <si>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</si>
  <si>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</si>
  <si>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</si>
  <si>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</si>
  <si>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</si>
  <si>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</si>
  <si>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</si>
  <si>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</si>
  <si>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</si>
  <si>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</si>
  <si>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</si>
  <si>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</si>
  <si>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</si>
  <si>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</si>
  <si>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</si>
  <si>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</si>
  <si>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</si>
  <si>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</si>
  <si>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</si>
  <si>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</si>
  <si>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</si>
  <si>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</si>
  <si>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</si>
  <si>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</si>
  <si>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</si>
  <si>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</si>
  <si>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</si>
  <si>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</si>
  <si>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</si>
  <si>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</si>
  <si>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</si>
  <si>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</si>
  <si>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</si>
  <si>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</si>
  <si>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</si>
  <si>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</si>
  <si>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</si>
  <si>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</si>
  <si>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</si>
  <si>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</si>
  <si>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</si>
  <si>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</si>
  <si>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</si>
  <si>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</si>
  <si>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</si>
  <si>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</si>
  <si>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</si>
  <si>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</si>
  <si>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</si>
  <si>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</si>
  <si>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</si>
  <si>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</si>
  <si>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</si>
  <si>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</si>
  <si>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</si>
  <si>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</si>
  <si>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</si>
  <si>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</si>
  <si>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</si>
  <si>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</si>
  <si>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</si>
  <si>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</si>
  <si>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</si>
  <si>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</si>
  <si>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</si>
  <si>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</si>
  <si>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</si>
  <si>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</si>
  <si>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</si>
  <si>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</si>
  <si>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</si>
  <si>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</si>
  <si>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</si>
  <si>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</si>
  <si>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</si>
  <si>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</si>
  <si>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</si>
  <si>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</si>
  <si>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</si>
  <si>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</si>
  <si>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</si>
  <si>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</si>
  <si>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</si>
  <si>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</si>
  <si>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</si>
  <si>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</si>
  <si>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</si>
  <si>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</si>
  <si>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</si>
  <si>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</si>
  <si>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</si>
  <si>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</si>
  <si>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</si>
  <si>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</si>
  <si>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</si>
  <si>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</si>
  <si>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</si>
  <si>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</si>
  <si>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</si>
  <si>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</si>
  <si>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</si>
  <si>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</si>
  <si>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</si>
  <si>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</si>
  <si>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</si>
  <si>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</si>
  <si>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</si>
  <si>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</si>
  <si>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</si>
  <si>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</si>
  <si>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</si>
  <si>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</si>
  <si>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</si>
  <si>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</si>
  <si>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京都市</t>
    <rPh sb="0" eb="2">
      <t>キョウト</t>
    </rPh>
    <rPh sb="2" eb="3">
      <t>シ</t>
    </rPh>
    <phoneticPr fontId="9"/>
  </si>
  <si>
    <t>イリョウホウジントウモンカイ</t>
    <phoneticPr fontId="9"/>
  </si>
  <si>
    <t>医療法人稲門会</t>
    <rPh sb="0" eb="2">
      <t>イリョウ</t>
    </rPh>
    <rPh sb="2" eb="7">
      <t>ホウジントウモンカイ</t>
    </rPh>
    <phoneticPr fontId="9"/>
  </si>
  <si>
    <t>606</t>
    <phoneticPr fontId="9"/>
  </si>
  <si>
    <t>0017</t>
    <phoneticPr fontId="9"/>
  </si>
  <si>
    <t>京都市左京区岩倉上蔵町101</t>
    <rPh sb="0" eb="3">
      <t>キョウトシ</t>
    </rPh>
    <rPh sb="3" eb="6">
      <t>サキョウク</t>
    </rPh>
    <rPh sb="6" eb="8">
      <t>イワクラ</t>
    </rPh>
    <rPh sb="8" eb="11">
      <t>アグラチョウ</t>
    </rPh>
    <phoneticPr fontId="9"/>
  </si>
  <si>
    <t>理事長</t>
    <rPh sb="0" eb="3">
      <t>リジチョウ</t>
    </rPh>
    <phoneticPr fontId="9"/>
  </si>
  <si>
    <t>岡山　好男</t>
    <rPh sb="0" eb="2">
      <t>オカヤマ</t>
    </rPh>
    <rPh sb="3" eb="5">
      <t>ヨシオ</t>
    </rPh>
    <phoneticPr fontId="9"/>
  </si>
  <si>
    <t>7130005003937</t>
    <phoneticPr fontId="9"/>
  </si>
  <si>
    <t>ウツノミヤ　マサユキ</t>
    <phoneticPr fontId="9"/>
  </si>
  <si>
    <t>宇都宮　将征</t>
    <rPh sb="0" eb="3">
      <t>ウ</t>
    </rPh>
    <rPh sb="4" eb="6">
      <t>マサユキ</t>
    </rPh>
    <phoneticPr fontId="9"/>
  </si>
  <si>
    <t>075-712-5252</t>
    <phoneticPr fontId="9"/>
  </si>
  <si>
    <t>utsunomiya@toumonkai.net</t>
    <phoneticPr fontId="9"/>
  </si>
  <si>
    <t>○</t>
  </si>
  <si>
    <t>2650680081</t>
    <phoneticPr fontId="9"/>
  </si>
  <si>
    <t>京都市</t>
    <rPh sb="0" eb="3">
      <t>キョウトシ</t>
    </rPh>
    <phoneticPr fontId="9"/>
  </si>
  <si>
    <t>介護老人保健施設フェアウインドきの</t>
    <rPh sb="0" eb="2">
      <t>カイゴ</t>
    </rPh>
    <rPh sb="2" eb="4">
      <t>ロウジン</t>
    </rPh>
    <rPh sb="4" eb="6">
      <t>ホケン</t>
    </rPh>
    <rPh sb="6" eb="8">
      <t>シセツ</t>
    </rPh>
    <phoneticPr fontId="9"/>
  </si>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</sst>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checked="Checked"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87816" y="113123"/>
          <a:ext cx="10211034" cy="895027"/>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view="pageBreakPreview" topLeftCell="A37" zoomScale="130" zoomScaleNormal="80" zoomScaleSheetLayoutView="130" workbookViewId="0">
      <selection activeCell="AC43" sqref="AC43"/>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5"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499999999999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547</v>
      </c>
      <c r="W14" s="734"/>
      <c r="X14" s="734"/>
      <c r="Y14" s="734"/>
      <c r="Z14" s="735"/>
      <c r="AF14"/>
      <c r="AG14" s="241"/>
      <c r="AH14" s="242"/>
    </row>
    <row r="15" spans="1:39" ht="38.4"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5"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2571</v>
      </c>
      <c r="W16" s="698"/>
      <c r="X16" s="698"/>
      <c r="Y16" s="698"/>
      <c r="Z16" s="698"/>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13</v>
      </c>
      <c r="B21" s="707" t="s">
        <v>14</v>
      </c>
      <c r="C21" s="707"/>
      <c r="D21" s="707"/>
      <c r="E21" s="707"/>
      <c r="F21" s="707"/>
      <c r="G21" s="707"/>
      <c r="H21" s="707"/>
      <c r="I21" s="707"/>
      <c r="J21" s="707"/>
      <c r="K21" s="707"/>
      <c r="L21" s="723" t="s">
        <v>2572</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15</v>
      </c>
      <c r="C22" s="707"/>
      <c r="D22" s="707"/>
      <c r="E22" s="707"/>
      <c r="F22" s="707"/>
      <c r="G22" s="707"/>
      <c r="H22" s="707"/>
      <c r="I22" s="707"/>
      <c r="J22" s="707"/>
      <c r="K22" s="707"/>
      <c r="L22" s="723" t="s">
        <v>2573</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16</v>
      </c>
      <c r="B23" s="707" t="s">
        <v>17</v>
      </c>
      <c r="C23" s="707"/>
      <c r="D23" s="707"/>
      <c r="E23" s="707"/>
      <c r="F23" s="707"/>
      <c r="G23" s="707"/>
      <c r="H23" s="707"/>
      <c r="I23" s="707"/>
      <c r="J23" s="707"/>
      <c r="K23" s="707"/>
      <c r="L23" s="745" t="s">
        <v>2574</v>
      </c>
      <c r="M23" s="746"/>
      <c r="N23" s="746"/>
      <c r="O23" s="747"/>
      <c r="P23" s="695" t="s">
        <v>18</v>
      </c>
      <c r="Q23" s="748" t="s">
        <v>2575</v>
      </c>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t="s">
        <v>2576</v>
      </c>
      <c r="M24" s="724"/>
      <c r="N24" s="724"/>
      <c r="O24" s="724"/>
      <c r="P24" s="724"/>
      <c r="Q24" s="724"/>
      <c r="R24" s="724"/>
      <c r="S24" s="724"/>
      <c r="T24" s="724"/>
      <c r="U24" s="724"/>
      <c r="V24" s="724"/>
      <c r="W24" s="724"/>
      <c r="X24" s="724"/>
      <c r="Y24" s="724"/>
      <c r="Z24" s="724"/>
      <c r="AA24" s="724"/>
      <c r="AB24" s="724"/>
      <c r="AC24" s="724"/>
      <c r="AD24" s="725"/>
      <c r="AF24"/>
      <c r="AM24" s="246" t="str">
        <f>L23&amp;"-"&amp;Q23</f>
        <v>606-0017</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t="s">
        <v>2577</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t="s">
        <v>2578</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25</v>
      </c>
      <c r="B28" s="717"/>
      <c r="C28" s="717"/>
      <c r="D28" s="717"/>
      <c r="E28" s="717"/>
      <c r="F28" s="717"/>
      <c r="G28" s="717"/>
      <c r="H28" s="717"/>
      <c r="I28" s="717"/>
      <c r="J28" s="717"/>
      <c r="K28" s="718"/>
      <c r="L28" s="754" t="s">
        <v>2579</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26</v>
      </c>
      <c r="B29" s="707" t="s">
        <v>14</v>
      </c>
      <c r="C29" s="707"/>
      <c r="D29" s="707"/>
      <c r="E29" s="707"/>
      <c r="F29" s="707"/>
      <c r="G29" s="707"/>
      <c r="H29" s="707"/>
      <c r="I29" s="707"/>
      <c r="J29" s="707"/>
      <c r="K29" s="707"/>
      <c r="L29" s="708" t="s">
        <v>2580</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24</v>
      </c>
      <c r="C30" s="714"/>
      <c r="D30" s="714"/>
      <c r="E30" s="714"/>
      <c r="F30" s="714"/>
      <c r="G30" s="714"/>
      <c r="H30" s="714"/>
      <c r="I30" s="714"/>
      <c r="J30" s="714"/>
      <c r="K30" s="714"/>
      <c r="L30" s="708" t="s">
        <v>2581</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27</v>
      </c>
      <c r="B31" s="707" t="s">
        <v>28</v>
      </c>
      <c r="C31" s="707"/>
      <c r="D31" s="707"/>
      <c r="E31" s="707"/>
      <c r="F31" s="707"/>
      <c r="G31" s="707"/>
      <c r="H31" s="707"/>
      <c r="I31" s="707"/>
      <c r="J31" s="707"/>
      <c r="K31" s="707"/>
      <c r="L31" s="708" t="s">
        <v>2582</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29</v>
      </c>
      <c r="C32" s="707"/>
      <c r="D32" s="707"/>
      <c r="E32" s="707"/>
      <c r="F32" s="707"/>
      <c r="G32" s="707"/>
      <c r="H32" s="707"/>
      <c r="I32" s="707"/>
      <c r="J32" s="707"/>
      <c r="K32" s="707"/>
      <c r="L32" s="711" t="s">
        <v>2583</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5"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2584</v>
      </c>
      <c r="AF36" s="249"/>
      <c r="AG36" s="805" t="s">
        <v>34</v>
      </c>
      <c r="AH36" s="806"/>
      <c r="AI36" s="806"/>
      <c r="AJ36" s="806"/>
      <c r="AK36" s="807"/>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200000000000003"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49.95" customHeight="1" thickBot="1">
      <c r="A40" s="252">
        <v>1</v>
      </c>
      <c r="B40" s="770" t="s">
        <v>2585</v>
      </c>
      <c r="C40" s="771"/>
      <c r="D40" s="771"/>
      <c r="E40" s="771"/>
      <c r="F40" s="771"/>
      <c r="G40" s="771"/>
      <c r="H40" s="771"/>
      <c r="I40" s="771"/>
      <c r="J40" s="771"/>
      <c r="K40" s="771"/>
      <c r="L40" s="759" t="s">
        <v>2586</v>
      </c>
      <c r="M40" s="759"/>
      <c r="N40" s="759"/>
      <c r="O40" s="759"/>
      <c r="P40" s="759"/>
      <c r="Q40" s="753" t="s">
        <v>679</v>
      </c>
      <c r="R40" s="753"/>
      <c r="S40" s="753"/>
      <c r="T40" s="753"/>
      <c r="U40" s="753"/>
      <c r="V40" s="586" t="s">
        <v>944</v>
      </c>
      <c r="W40" s="586" t="s">
        <v>2587</v>
      </c>
      <c r="X40" s="798" t="s">
        <v>706</v>
      </c>
      <c r="Y40" s="799"/>
      <c r="Z40" s="585" t="str">
        <f>IFERROR(VLOOKUP(X40, 【参考】数式用!$A$2:$B$46, 2, FALSE), "")</f>
        <v>52</v>
      </c>
      <c r="AA40" s="600">
        <v>3018502</v>
      </c>
      <c r="AB40" s="601">
        <v>210591</v>
      </c>
      <c r="AC40" s="602">
        <f t="shared" ref="AC40:AC104" si="0">AA40-AB40</f>
        <v>2807911</v>
      </c>
      <c r="AD40" s="617">
        <f>IF(B40="", "", IF(COUNTIF(X40,"*独自*"),"数式を削除して手入力",IFERROR(INDEX(【参考】数式用!$O$3:'【参考】数式用'!$Q$452,MATCH(Q40&amp;V40,【参考】数式用!$N$3:'【参考】数式用'!$N$452,0),MATCH(VLOOKUP(X40,【参考】数式用!$R$2:$S$46,2,FALSE),【参考】数式用!$O$2:$Q$2,0)),10)))</f>
        <v>10.45</v>
      </c>
      <c r="AE40" s="597" t="s">
        <v>2584</v>
      </c>
      <c r="AF40" s="253"/>
      <c r="AG40" s="254" t="s">
        <v>49</v>
      </c>
      <c r="AH40" s="255" t="s">
        <v>50</v>
      </c>
      <c r="AI40" s="256" t="s">
        <v>51</v>
      </c>
      <c r="AJ40" s="257" t="s">
        <v>52</v>
      </c>
      <c r="AK40" s="258" t="s">
        <v>53</v>
      </c>
      <c r="AL40" s="259"/>
      <c r="AM40" s="259"/>
      <c r="AN40" s="259"/>
      <c r="AO40" s="259"/>
      <c r="AP40" s="259"/>
      <c r="AQ40" s="259"/>
      <c r="AR40" s="259"/>
      <c r="AS40" s="259"/>
      <c r="AT40" s="259"/>
    </row>
    <row r="41" spans="1:46" ht="49.95" customHeight="1">
      <c r="A41" s="252">
        <f>A40+1</f>
        <v>2</v>
      </c>
      <c r="B41" s="770" t="s">
        <v>2585</v>
      </c>
      <c r="C41" s="771"/>
      <c r="D41" s="771"/>
      <c r="E41" s="771"/>
      <c r="F41" s="771"/>
      <c r="G41" s="771"/>
      <c r="H41" s="771"/>
      <c r="I41" s="771"/>
      <c r="J41" s="771"/>
      <c r="K41" s="771"/>
      <c r="L41" s="759" t="s">
        <v>2586</v>
      </c>
      <c r="M41" s="759"/>
      <c r="N41" s="759"/>
      <c r="O41" s="759"/>
      <c r="P41" s="759"/>
      <c r="Q41" s="753" t="s">
        <v>679</v>
      </c>
      <c r="R41" s="753"/>
      <c r="S41" s="753"/>
      <c r="T41" s="753"/>
      <c r="U41" s="753"/>
      <c r="V41" s="586" t="s">
        <v>944</v>
      </c>
      <c r="W41" s="586" t="s">
        <v>2587</v>
      </c>
      <c r="X41" s="798" t="s">
        <v>714</v>
      </c>
      <c r="Y41" s="799"/>
      <c r="Z41" s="575" t="str">
        <f>IFERROR(VLOOKUP(X41, 【参考】数式用!$A$2:$B$46, 2, FALSE), "")</f>
        <v>22</v>
      </c>
      <c r="AA41" s="603">
        <v>605756</v>
      </c>
      <c r="AB41" s="604">
        <v>42263</v>
      </c>
      <c r="AC41" s="605">
        <f t="shared" si="0"/>
        <v>563493</v>
      </c>
      <c r="AD41" s="617">
        <f>IF(B41="", "", IF(COUNTIF(X41,"*独自*"),"数式を削除して手入力",IFERROR(INDEX(【参考】数式用!$O$3:'【参考】数式用'!$Q$452,MATCH(Q41&amp;V41,【参考】数式用!$N$3:'【参考】数式用'!$N$452,0),MATCH(VLOOKUP(X41,【参考】数式用!$R$2:$S$46,2,FALSE),【参考】数式用!$O$2:$Q$2,0)),10)))</f>
        <v>10.45</v>
      </c>
      <c r="AE41" s="598" t="s">
        <v>2584</v>
      </c>
      <c r="AF41" s="253"/>
      <c r="AG41" s="783" t="s">
        <v>54</v>
      </c>
      <c r="AH41" s="260" t="s">
        <v>55</v>
      </c>
      <c r="AI41" s="261" t="s">
        <v>56</v>
      </c>
      <c r="AJ41" s="262">
        <f>COUNTIF($Z$40:$Z$139, AI41)</f>
        <v>0</v>
      </c>
      <c r="AK41" s="785" t="str">
        <f>IF(AJ41=AJ42, "一致", "不一致")</f>
        <v>一致</v>
      </c>
    </row>
    <row r="42" spans="1:46" ht="49.95" customHeight="1">
      <c r="A42" s="252">
        <f t="shared" ref="A42:A78" si="1">A41+1</f>
        <v>3</v>
      </c>
      <c r="B42" s="772" t="s">
        <v>2585</v>
      </c>
      <c r="C42" s="773"/>
      <c r="D42" s="773"/>
      <c r="E42" s="773"/>
      <c r="F42" s="773"/>
      <c r="G42" s="773"/>
      <c r="H42" s="773"/>
      <c r="I42" s="773"/>
      <c r="J42" s="773"/>
      <c r="K42" s="774"/>
      <c r="L42" s="760" t="s">
        <v>2586</v>
      </c>
      <c r="M42" s="761"/>
      <c r="N42" s="761"/>
      <c r="O42" s="761"/>
      <c r="P42" s="762"/>
      <c r="Q42" s="753" t="s">
        <v>679</v>
      </c>
      <c r="R42" s="753"/>
      <c r="S42" s="753"/>
      <c r="T42" s="753"/>
      <c r="U42" s="753"/>
      <c r="V42" s="586" t="s">
        <v>944</v>
      </c>
      <c r="W42" s="135" t="s">
        <v>2587</v>
      </c>
      <c r="X42" s="798" t="s">
        <v>588</v>
      </c>
      <c r="Y42" s="799"/>
      <c r="Z42" s="576" t="str">
        <f>IFERROR(VLOOKUP(X42, 【参考】数式用!$A$2:$B$46, 2, FALSE), "")</f>
        <v>16</v>
      </c>
      <c r="AA42" s="603">
        <v>1148180</v>
      </c>
      <c r="AB42" s="604">
        <v>90923</v>
      </c>
      <c r="AC42" s="606">
        <f t="shared" si="0"/>
        <v>1057257</v>
      </c>
      <c r="AD42" s="617">
        <f>IF(B42="", "", IF(COUNTIF(X42,"*独自*"),"数式を削除して手入力",IFERROR(INDEX(【参考】数式用!$O$3:'【参考】数式用'!$Q$452,MATCH(Q42&amp;V42,【参考】数式用!$N$3:'【参考】数式用'!$N$452,0),MATCH(VLOOKUP(X42,【参考】数式用!$R$2:$S$46,2,FALSE),【参考】数式用!$O$2:$Q$2,0)),10)))</f>
        <v>10.55</v>
      </c>
      <c r="AE42" s="598" t="s">
        <v>2584</v>
      </c>
      <c r="AF42" s="253"/>
      <c r="AG42" s="784"/>
      <c r="AH42" s="263" t="s">
        <v>57</v>
      </c>
      <c r="AI42" s="264" t="s">
        <v>58</v>
      </c>
      <c r="AJ42" s="265">
        <f t="shared" ref="AJ42:AJ73" si="2">COUNTIF($Z$40:$Z$139, AI42)</f>
        <v>0</v>
      </c>
      <c r="AK42" s="786"/>
    </row>
    <row r="43" spans="1:46" ht="49.95" customHeight="1">
      <c r="A43" s="252">
        <f t="shared" si="1"/>
        <v>4</v>
      </c>
      <c r="B43" s="772" t="s">
        <v>2585</v>
      </c>
      <c r="C43" s="773"/>
      <c r="D43" s="773"/>
      <c r="E43" s="773"/>
      <c r="F43" s="773"/>
      <c r="G43" s="773"/>
      <c r="H43" s="773"/>
      <c r="I43" s="773"/>
      <c r="J43" s="773"/>
      <c r="K43" s="774"/>
      <c r="L43" s="760" t="s">
        <v>2586</v>
      </c>
      <c r="M43" s="761"/>
      <c r="N43" s="761"/>
      <c r="O43" s="761"/>
      <c r="P43" s="762"/>
      <c r="Q43" s="753" t="s">
        <v>679</v>
      </c>
      <c r="R43" s="753"/>
      <c r="S43" s="753"/>
      <c r="T43" s="753"/>
      <c r="U43" s="753"/>
      <c r="V43" s="586" t="s">
        <v>944</v>
      </c>
      <c r="W43" s="135" t="s">
        <v>2587</v>
      </c>
      <c r="X43" s="798" t="s">
        <v>593</v>
      </c>
      <c r="Y43" s="799"/>
      <c r="Z43" s="575" t="str">
        <f>IFERROR(VLOOKUP(X43, 【参考】数式用!$A$2:$B$46, 2, FALSE), "")</f>
        <v>66</v>
      </c>
      <c r="AA43" s="603">
        <v>59931</v>
      </c>
      <c r="AB43" s="604">
        <v>4744</v>
      </c>
      <c r="AC43" s="605">
        <f t="shared" si="0"/>
        <v>55187</v>
      </c>
      <c r="AD43" s="617">
        <f>IF(B43="", "", IF(COUNTIF(X43,"*独自*"),"数式を削除して手入力",IFERROR(INDEX(【参考】数式用!$O$3:'【参考】数式用'!$Q$452,MATCH(Q43&amp;V43,【参考】数式用!$N$3:'【参考】数式用'!$N$452,0),MATCH(VLOOKUP(X43,【参考】数式用!$R$2:$S$46,2,FALSE),【参考】数式用!$O$2:$Q$2,0)),10)))</f>
        <v>10.55</v>
      </c>
      <c r="AE43" s="598" t="s">
        <v>2584</v>
      </c>
      <c r="AF43" s="253"/>
      <c r="AG43" s="787" t="s">
        <v>59</v>
      </c>
      <c r="AH43" s="263" t="s">
        <v>60</v>
      </c>
      <c r="AI43" s="264" t="s">
        <v>61</v>
      </c>
      <c r="AJ43" s="265">
        <f t="shared" si="2"/>
        <v>1</v>
      </c>
      <c r="AK43" s="786" t="str">
        <f>IF(AJ43=AJ44, "一致", "不一致")</f>
        <v>一致</v>
      </c>
    </row>
    <row r="44" spans="1:46" ht="49.95" customHeight="1">
      <c r="A44" s="252">
        <f t="shared" si="1"/>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2"/>
        <v>1</v>
      </c>
      <c r="AK44" s="786"/>
    </row>
    <row r="45" spans="1:46" ht="49.95" customHeight="1">
      <c r="A45" s="252">
        <f t="shared" si="1"/>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2"/>
        <v>0</v>
      </c>
      <c r="AK45" s="786" t="str">
        <f>IF(AND(AJ45=AJ46, AJ46=AJ47), "一致", "不一致")</f>
        <v>一致</v>
      </c>
    </row>
    <row r="46" spans="1:46" ht="49.95" customHeight="1">
      <c r="A46" s="252">
        <f t="shared" si="1"/>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2"/>
        <v>0</v>
      </c>
      <c r="AK46" s="786"/>
    </row>
    <row r="47" spans="1:46" ht="49.95" customHeight="1">
      <c r="A47" s="252">
        <f t="shared" si="1"/>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2"/>
        <v>0</v>
      </c>
      <c r="AK47" s="786"/>
    </row>
    <row r="48" spans="1:46" ht="49.95" customHeight="1">
      <c r="A48" s="252">
        <f t="shared" si="1"/>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2"/>
        <v>0</v>
      </c>
      <c r="AK48" s="786" t="str">
        <f>IF(AJ48=AJ49, "一致", "不一致")</f>
        <v>一致</v>
      </c>
    </row>
    <row r="49" spans="1:37" ht="49.95" customHeight="1">
      <c r="A49" s="252">
        <f t="shared" si="1"/>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2"/>
        <v>0</v>
      </c>
      <c r="AK49" s="786"/>
    </row>
    <row r="50" spans="1:37" ht="49.95" customHeight="1">
      <c r="A50" s="252">
        <f t="shared" si="1"/>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2"/>
        <v>0</v>
      </c>
      <c r="AK50" s="786" t="str">
        <f>IF(AJ50=AJ51, "一致", "不一致")</f>
        <v>一致</v>
      </c>
    </row>
    <row r="51" spans="1:37" ht="49.95" customHeight="1">
      <c r="A51" s="252">
        <f t="shared" si="1"/>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2"/>
        <v>0</v>
      </c>
      <c r="AK51" s="786"/>
    </row>
    <row r="52" spans="1:37" ht="49.95" customHeight="1">
      <c r="A52" s="252">
        <f t="shared" si="1"/>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2"/>
        <v>0</v>
      </c>
      <c r="AK52" s="786" t="str">
        <f>IF(AND(AJ52=AJ53, AJ53=AJ54, AJ54=AJ55), "一致", "不一致")</f>
        <v>一致</v>
      </c>
    </row>
    <row r="53" spans="1:37" ht="49.95" customHeight="1">
      <c r="A53" s="252">
        <f t="shared" si="1"/>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2"/>
        <v>0</v>
      </c>
      <c r="AK53" s="786"/>
    </row>
    <row r="54" spans="1:37" ht="49.95" customHeight="1">
      <c r="A54" s="252">
        <f t="shared" si="1"/>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2"/>
        <v>0</v>
      </c>
      <c r="AK54" s="786"/>
    </row>
    <row r="55" spans="1:37" ht="49.95" customHeight="1">
      <c r="A55" s="252">
        <f t="shared" si="1"/>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2"/>
        <v>0</v>
      </c>
      <c r="AK55" s="786"/>
    </row>
    <row r="56" spans="1:37" ht="49.95" customHeight="1">
      <c r="A56" s="252">
        <f t="shared" si="1"/>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2"/>
        <v>0</v>
      </c>
      <c r="AK56" s="786" t="str">
        <f>IF(AJ56=AJ57, "一致", "不一致")</f>
        <v>一致</v>
      </c>
    </row>
    <row r="57" spans="1:37" ht="49.95" customHeight="1">
      <c r="A57" s="252">
        <f t="shared" si="1"/>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2"/>
        <v>0</v>
      </c>
      <c r="AK57" s="786"/>
    </row>
    <row r="58" spans="1:37" ht="49.95" customHeight="1">
      <c r="A58" s="252">
        <f t="shared" si="1"/>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2"/>
        <v>0</v>
      </c>
      <c r="AK58" s="786" t="str">
        <f>IF(AND(AJ58=AJ59, AJ59=AJ60, AJ60=AJ61), "一致", "不一致")</f>
        <v>一致</v>
      </c>
    </row>
    <row r="59" spans="1:37" ht="49.95" customHeight="1">
      <c r="A59" s="252">
        <f t="shared" si="1"/>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2"/>
        <v>0</v>
      </c>
      <c r="AK59" s="786"/>
    </row>
    <row r="60" spans="1:37" ht="49.95" customHeight="1">
      <c r="A60" s="252">
        <f t="shared" si="1"/>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2"/>
        <v>0</v>
      </c>
      <c r="AK60" s="786"/>
    </row>
    <row r="61" spans="1:37" ht="49.95" customHeight="1">
      <c r="A61" s="252">
        <f t="shared" si="1"/>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2"/>
        <v>0</v>
      </c>
      <c r="AK61" s="786"/>
    </row>
    <row r="62" spans="1:37" ht="49.95" customHeight="1">
      <c r="A62" s="252">
        <f t="shared" si="1"/>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2"/>
        <v>0</v>
      </c>
      <c r="AK62" s="786" t="str">
        <f>IF(AJ62=AJ63, "一致", "不一致")</f>
        <v>一致</v>
      </c>
    </row>
    <row r="63" spans="1:37" ht="49.95" customHeight="1">
      <c r="A63" s="252">
        <f t="shared" si="1"/>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2"/>
        <v>0</v>
      </c>
      <c r="AK63" s="786"/>
    </row>
    <row r="64" spans="1:37" ht="49.95" customHeight="1">
      <c r="A64" s="252">
        <f t="shared" si="1"/>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2"/>
        <v>1</v>
      </c>
      <c r="AK64" s="786" t="str">
        <f>IF(AJ64=AJ65, "一致", "不一致")</f>
        <v>不一致</v>
      </c>
    </row>
    <row r="65" spans="1:37" ht="49.95" customHeight="1">
      <c r="A65" s="252">
        <f t="shared" si="1"/>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2"/>
        <v>0</v>
      </c>
      <c r="AK65" s="786"/>
    </row>
    <row r="66" spans="1:37" ht="49.95" customHeight="1">
      <c r="A66" s="252">
        <f t="shared" si="1"/>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2"/>
        <v>0</v>
      </c>
      <c r="AK66" s="786" t="str">
        <f>IF(AJ66=AJ67, "一致", "不一致")</f>
        <v>一致</v>
      </c>
    </row>
    <row r="67" spans="1:37" ht="49.95" customHeight="1">
      <c r="A67" s="252">
        <f t="shared" si="1"/>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2"/>
        <v>0</v>
      </c>
      <c r="AK67" s="786"/>
    </row>
    <row r="68" spans="1:37" ht="49.95" customHeight="1">
      <c r="A68" s="252">
        <f t="shared" si="1"/>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2"/>
        <v>0</v>
      </c>
      <c r="AK68" s="786" t="str">
        <f>IF(AJ68=AJ69, "一致", "不一致")</f>
        <v>一致</v>
      </c>
    </row>
    <row r="69" spans="1:37" ht="49.95" customHeight="1">
      <c r="A69" s="252">
        <f t="shared" si="1"/>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2"/>
        <v>0</v>
      </c>
      <c r="AK69" s="786"/>
    </row>
    <row r="70" spans="1:37" ht="49.95" customHeight="1">
      <c r="A70" s="252">
        <f t="shared" si="1"/>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2"/>
        <v>0</v>
      </c>
      <c r="AK70" s="786" t="str">
        <f>IF(AJ70=AJ71, "一致", "不一致")</f>
        <v>一致</v>
      </c>
    </row>
    <row r="71" spans="1:37" ht="49.95" customHeight="1">
      <c r="A71" s="252">
        <f t="shared" si="1"/>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2"/>
        <v>0</v>
      </c>
      <c r="AK71" s="786"/>
    </row>
    <row r="72" spans="1:37" ht="49.95" customHeight="1">
      <c r="A72" s="252">
        <f t="shared" si="1"/>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2"/>
        <v>0</v>
      </c>
      <c r="AK72" s="786" t="str">
        <f>IF(AJ72=AJ73, "一致", "不一致")</f>
        <v>一致</v>
      </c>
    </row>
    <row r="73" spans="1:37" ht="49.95" customHeight="1" thickBot="1">
      <c r="A73" s="252">
        <f t="shared" si="1"/>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2"/>
        <v>0</v>
      </c>
      <c r="AK73" s="801"/>
    </row>
    <row r="74" spans="1:37" ht="49.95" customHeight="1">
      <c r="A74" s="252">
        <f t="shared" si="1"/>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1"/>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1"/>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1"/>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1"/>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tabSelected="1" view="pageBreakPreview" zoomScale="130" zoomScaleNormal="120" zoomScaleSheetLayoutView="130" zoomScalePageLayoutView="64" workbookViewId="0">
      <selection activeCell="AO66" sqref="AO66"/>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京都市</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イリョウホウジントウモンカイ</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医療法人稲門会</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606-0017</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京都市左京区岩倉上蔵町101</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ウツノミヤ　マサユキ</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宇都宮　将征</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075-712-5252</v>
      </c>
      <c r="M13" s="941"/>
      <c r="N13" s="941"/>
      <c r="O13" s="941"/>
      <c r="P13" s="941"/>
      <c r="Q13" s="941"/>
      <c r="R13" s="941"/>
      <c r="S13" s="941"/>
      <c r="T13" s="941"/>
      <c r="U13" s="942"/>
      <c r="V13" s="943" t="s">
        <v>29</v>
      </c>
      <c r="W13" s="944"/>
      <c r="X13" s="944"/>
      <c r="Y13" s="939"/>
      <c r="Z13" s="940" t="str">
        <f>IF(基本情報入力シート!L32="","",基本情報入力シート!L32)</f>
        <v>utsunomiya@toumonkai.net</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43819812</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v>0</v>
      </c>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43819812</v>
      </c>
      <c r="R19" s="980"/>
      <c r="S19" s="980"/>
      <c r="T19" s="980"/>
      <c r="U19" s="980"/>
      <c r="V19" s="981"/>
      <c r="W19" s="411" t="s">
        <v>147</v>
      </c>
      <c r="X19" s="66" t="s">
        <v>150</v>
      </c>
      <c r="Y19" s="922" t="str">
        <f>IF(H7="", "", IFERROR(IF(Q20&gt;=Q19,"○","×"),""))</f>
        <v>○</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 customHeight="1" thickBot="1">
      <c r="A20" s="61"/>
      <c r="B20" s="412" t="s">
        <v>154</v>
      </c>
      <c r="C20" s="985" t="s">
        <v>155</v>
      </c>
      <c r="D20" s="985"/>
      <c r="E20" s="985"/>
      <c r="F20" s="985"/>
      <c r="G20" s="985"/>
      <c r="H20" s="985"/>
      <c r="I20" s="985"/>
      <c r="J20" s="985"/>
      <c r="K20" s="985"/>
      <c r="L20" s="985"/>
      <c r="M20" s="985"/>
      <c r="N20" s="985"/>
      <c r="O20" s="985"/>
      <c r="P20" s="985"/>
      <c r="Q20" s="986">
        <v>45721700</v>
      </c>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13033200</v>
      </c>
      <c r="U29" s="920"/>
      <c r="V29" s="920"/>
      <c r="W29" s="920"/>
      <c r="X29" s="920"/>
      <c r="Y29" s="921"/>
      <c r="Z29" s="411" t="s">
        <v>147</v>
      </c>
      <c r="AA29" s="118" t="s">
        <v>150</v>
      </c>
      <c r="AB29" s="922" t="str">
        <f>IF(H7="", "", IFERROR(IF(T30&gt;=T29,"○","×"),""))</f>
        <v>○</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v>42091200</v>
      </c>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19.95"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19.95"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19.95"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2584</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5"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t="s">
        <v>2588</v>
      </c>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3</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t="s">
        <v>2588</v>
      </c>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t="s">
        <v>2588</v>
      </c>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213</v>
      </c>
      <c r="C76" s="791"/>
      <c r="D76" s="791"/>
      <c r="E76" s="818" t="s">
        <v>2588</v>
      </c>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3</v>
      </c>
    </row>
    <row r="77" spans="1:53" ht="15" customHeight="1" thickBot="1">
      <c r="A77" s="61"/>
      <c r="B77" s="868"/>
      <c r="C77" s="869"/>
      <c r="D77" s="869"/>
      <c r="E77" s="820" t="s">
        <v>2588</v>
      </c>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t="s">
        <v>2588</v>
      </c>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t="s">
        <v>2588</v>
      </c>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4</v>
      </c>
    </row>
    <row r="81" spans="1:53" ht="28.2" customHeight="1" thickBot="1">
      <c r="A81" s="61"/>
      <c r="B81" s="868"/>
      <c r="C81" s="869"/>
      <c r="D81" s="869"/>
      <c r="E81" s="820" t="s">
        <v>2588</v>
      </c>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 customHeight="1">
      <c r="A82" s="61"/>
      <c r="B82" s="868"/>
      <c r="C82" s="869"/>
      <c r="D82" s="869"/>
      <c r="E82" s="820" t="s">
        <v>2588</v>
      </c>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t="s">
        <v>2588</v>
      </c>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t="s">
        <v>2588</v>
      </c>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4</v>
      </c>
    </row>
    <row r="85" spans="1:53" ht="15" customHeight="1" thickBot="1">
      <c r="A85" s="61"/>
      <c r="B85" s="868"/>
      <c r="C85" s="869"/>
      <c r="D85" s="869"/>
      <c r="E85" s="820" t="s">
        <v>2588</v>
      </c>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 customHeight="1">
      <c r="A86" s="61"/>
      <c r="B86" s="868"/>
      <c r="C86" s="869"/>
      <c r="D86" s="869"/>
      <c r="E86" s="820" t="s">
        <v>2588</v>
      </c>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t="s">
        <v>2588</v>
      </c>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 customHeight="1" thickBot="1">
      <c r="A88" s="61"/>
      <c r="B88" s="790" t="s">
        <v>228</v>
      </c>
      <c r="C88" s="791"/>
      <c r="D88" s="791"/>
      <c r="E88" s="818" t="s">
        <v>2588</v>
      </c>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6</v>
      </c>
    </row>
    <row r="89" spans="1:53" ht="15" customHeight="1" thickBot="1">
      <c r="A89" s="61"/>
      <c r="B89" s="868"/>
      <c r="C89" s="869"/>
      <c r="D89" s="869"/>
      <c r="E89" s="820" t="s">
        <v>2588</v>
      </c>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t="s">
        <v>2588</v>
      </c>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t="s">
        <v>2588</v>
      </c>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 customHeight="1">
      <c r="A93" s="61"/>
      <c r="B93" s="868"/>
      <c r="C93" s="869"/>
      <c r="D93" s="869"/>
      <c r="E93" s="820" t="s">
        <v>2588</v>
      </c>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 customHeight="1">
      <c r="A94" s="61"/>
      <c r="B94" s="868"/>
      <c r="C94" s="869"/>
      <c r="D94" s="869"/>
      <c r="E94" s="820" t="s">
        <v>2588</v>
      </c>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t="s">
        <v>2588</v>
      </c>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4</v>
      </c>
    </row>
    <row r="97" spans="1:55" ht="15" customHeight="1" thickBot="1">
      <c r="A97" s="61"/>
      <c r="B97" s="868"/>
      <c r="C97" s="869"/>
      <c r="D97" s="869"/>
      <c r="E97" s="820" t="s">
        <v>2588</v>
      </c>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t="s">
        <v>2588</v>
      </c>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t="s">
        <v>2588</v>
      </c>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1</v>
      </c>
    </row>
    <row r="103" spans="1:55" s="487" customFormat="1" ht="30.6"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1</v>
      </c>
    </row>
    <row r="104" spans="1:55" s="487" customFormat="1" ht="22.95"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v>7</v>
      </c>
      <c r="F124" s="1034"/>
      <c r="G124" s="46" t="s">
        <v>270</v>
      </c>
      <c r="H124" s="1033">
        <v>3</v>
      </c>
      <c r="I124" s="1034"/>
      <c r="J124" s="46" t="s">
        <v>271</v>
      </c>
      <c r="K124" s="1033">
        <v>15</v>
      </c>
      <c r="L124" s="1034"/>
      <c r="M124" s="46" t="s">
        <v>272</v>
      </c>
      <c r="N124" s="41"/>
      <c r="O124" s="1035" t="s">
        <v>139</v>
      </c>
      <c r="P124" s="1035"/>
      <c r="Q124" s="1035"/>
      <c r="R124" s="900" t="str">
        <f>IF(H7="","",H7)</f>
        <v>医療法人稲門会</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理事長</v>
      </c>
      <c r="U125" s="905"/>
      <c r="V125" s="905"/>
      <c r="W125" s="905"/>
      <c r="X125" s="905"/>
      <c r="Y125" s="904" t="s">
        <v>24</v>
      </c>
      <c r="Z125" s="904"/>
      <c r="AA125" s="905" t="str">
        <f>IF(基本情報入力シート!L27="", "", 基本情報入力シート!L27)</f>
        <v>岡山　好男</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10" zoomScale="80" zoomScaleNormal="85" zoomScaleSheetLayoutView="80" zoomScalePageLayoutView="70" workbookViewId="0">
      <selection activeCell="CI10" sqref="CI10"/>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京都市</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139</v>
      </c>
      <c r="B3" s="1121"/>
      <c r="C3" s="1122"/>
      <c r="D3" s="1123" t="str">
        <f>IF(基本情報入力シート!L22="","",基本情報入力シート!L22)</f>
        <v>医療法人稲門会</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43819812</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13</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13033200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2</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2650680081</v>
      </c>
      <c r="C12" s="1188"/>
      <c r="D12" s="1188"/>
      <c r="E12" s="1188"/>
      <c r="F12" s="1188"/>
      <c r="G12" s="1193" t="str">
        <f>IF(基本情報入力シート!L40="", "", 基本情報入力シート!L40)</f>
        <v>京都市</v>
      </c>
      <c r="H12" s="1193" t="str">
        <f>IF(基本情報入力シート!Q40="", "", 基本情報入力シート!Q40)</f>
        <v>京都府</v>
      </c>
      <c r="I12" s="1193" t="str">
        <f>IF(基本情報入力シート!V40="", "", 基本情報入力シート!V40)</f>
        <v>京都市</v>
      </c>
      <c r="J12" s="1193" t="str">
        <f>IF(基本情報入力シート!W40="", "", 基本情報入力シート!W40)</f>
        <v>介護老人保健施設フェアウインドきの</v>
      </c>
      <c r="K12" s="1193" t="str">
        <f>IF(基本情報入力シート!X40="", "", 基本情報入力シート!X40)</f>
        <v>介護老人保健施設サービス</v>
      </c>
      <c r="L12" s="1115">
        <f>IF(基本情報入力シート!AC40=0, "",基本情報入力シート!AC40)</f>
        <v>2807911</v>
      </c>
      <c r="M12" s="1131">
        <f>IF(AND(基本情報入力シート!B40="",基本情報入力シート!AD40=""), "", 基本情報入力シート!AD40)</f>
        <v>10.45</v>
      </c>
      <c r="N12" s="1103" t="s">
        <v>2502</v>
      </c>
      <c r="O12" s="1106">
        <f>IFERROR(VLOOKUP(K12,【参考】数式用２!$A$2:$AD$48,MATCH(N12,【参考】数式用２!$C$4:$AD$4,0)+2,0),"")</f>
        <v>7.5000000000000011E-2</v>
      </c>
      <c r="P12" s="1055" t="s">
        <v>2502</v>
      </c>
      <c r="Q12" s="1068">
        <f>IFERROR(VLOOKUP(K12,【参考】数式用２!$A$2:$AC$48,MATCH(P12,【参考】数式用２!$C$4:$AC$4,0)+2,0),"")</f>
        <v>7.5000000000000011E-2</v>
      </c>
      <c r="R12" s="1071" t="s">
        <v>269</v>
      </c>
      <c r="S12" s="1059">
        <v>7</v>
      </c>
      <c r="T12" s="1062" t="s">
        <v>357</v>
      </c>
      <c r="U12" s="1059">
        <v>4</v>
      </c>
      <c r="V12" s="1062" t="s">
        <v>358</v>
      </c>
      <c r="W12" s="1059">
        <v>8</v>
      </c>
      <c r="X12" s="1062" t="s">
        <v>357</v>
      </c>
      <c r="Y12" s="1059">
        <v>3</v>
      </c>
      <c r="Z12" s="1062" t="s">
        <v>359</v>
      </c>
      <c r="AA12" s="1062" t="s">
        <v>172</v>
      </c>
      <c r="AB12" s="1062">
        <f>IF(S12&gt;=1,(W12*12+Y12)-(S12*12+U12)+1,"")</f>
        <v>12</v>
      </c>
      <c r="AC12" s="1086" t="s">
        <v>360</v>
      </c>
      <c r="AD12" s="1065">
        <f>IFERROR(ROUNDDOWN(ROUND(L12*Q12,0)*M12,0)*AB12,"")</f>
        <v>26408352</v>
      </c>
      <c r="AE12" s="1089">
        <f>IFERROR(ROUNDDOWN(ROUNDDOWN(ROUND(L12*VLOOKUP(K12,【参考】数式用２!$A$2:$AC$48,MATCH("処遇改善加算Ⅳ",【参考】数式用２!$C$4:$O$4,0)+2,0),0)*M12,0)*AB12*0.5,0), "")</f>
        <v>7746456</v>
      </c>
      <c r="AF12" s="1074" t="s">
        <v>2584</v>
      </c>
      <c r="AG12" s="1065" t="str">
        <f>IF(AND(AQ12&lt;&gt;"対象外", P12&lt;&gt;""),ROUNDDOWN(ROUND(L12*VLOOKUP(K12,【参考】数式用２!$A$2:$K$48,MATCH("ベア加算あり",【参考】数式用２!$C$4:$K$4,0)+2,0),0)*M12,0)*AB12,"")</f>
        <v/>
      </c>
      <c r="AH12" s="1083"/>
      <c r="AI12" s="1074" t="s">
        <v>2584</v>
      </c>
      <c r="AJ12" s="1074" t="s">
        <v>2584</v>
      </c>
      <c r="AK12" s="1077">
        <v>10</v>
      </c>
      <c r="AL12" s="1080" t="s">
        <v>2542</v>
      </c>
      <c r="AM12" s="693"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_52</v>
      </c>
      <c r="AX12" s="1097" t="str">
        <f>IF(AND(P12="処遇改善加算Ⅰ", AL12=""), "未入力","入力済")</f>
        <v>入力済</v>
      </c>
      <c r="AY12" s="1095" t="str">
        <f>G12</f>
        <v>京都市</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2650680081</v>
      </c>
      <c r="C16" s="1110"/>
      <c r="D16" s="1110"/>
      <c r="E16" s="1110"/>
      <c r="F16" s="1110"/>
      <c r="G16" s="1110" t="str">
        <f>IF(基本情報入力シート!L41="", "",基本情報入力シート!L41)</f>
        <v>京都市</v>
      </c>
      <c r="H16" s="1110" t="str">
        <f>IF(基本情報入力シート!Q41="", "",基本情報入力シート!Q41)</f>
        <v>京都府</v>
      </c>
      <c r="I16" s="1110" t="str">
        <f>IF(基本情報入力シート!V41="", "",基本情報入力シート!V41)</f>
        <v>京都市</v>
      </c>
      <c r="J16" s="1110" t="str">
        <f>IF(基本情報入力シート!W41="", "",基本情報入力シート!W41)</f>
        <v>介護老人保健施設フェアウインドきの</v>
      </c>
      <c r="K16" s="1110" t="str">
        <f>IF(基本情報入力シート!X41="", "",基本情報入力シート!X41)</f>
        <v>短期入所療養介護（介護老人保健施設）</v>
      </c>
      <c r="L16" s="1115">
        <f>IF(基本情報入力シート!AC41=0, "",基本情報入力シート!AC41)</f>
        <v>563493</v>
      </c>
      <c r="M16" s="1130">
        <f>IF(基本情報入力シート!AD41="", "",基本情報入力シート!AD41)</f>
        <v>10.45</v>
      </c>
      <c r="N16" s="1103" t="s">
        <v>2502</v>
      </c>
      <c r="O16" s="1106">
        <f>IFERROR(VLOOKUP(K16,【参考】数式用２!$A$2:$AD$48,MATCH(N16,【参考】数式用２!$C$4:$AD$4,0)+2,0),"")</f>
        <v>7.5000000000000011E-2</v>
      </c>
      <c r="P16" s="1055" t="s">
        <v>2502</v>
      </c>
      <c r="Q16" s="1068">
        <f>IFERROR(VLOOKUP(K16,【参考】数式用２!$A$2:$AC$48,MATCH(P16,【参考】数式用２!$C$4:$AC$4,0)+2,0),"")</f>
        <v>7.5000000000000011E-2</v>
      </c>
      <c r="R16" s="1071" t="s">
        <v>269</v>
      </c>
      <c r="S16" s="1059">
        <v>7</v>
      </c>
      <c r="T16" s="1062" t="s">
        <v>357</v>
      </c>
      <c r="U16" s="1059">
        <v>4</v>
      </c>
      <c r="V16" s="1062" t="s">
        <v>358</v>
      </c>
      <c r="W16" s="1059">
        <v>8</v>
      </c>
      <c r="X16" s="1062" t="s">
        <v>357</v>
      </c>
      <c r="Y16" s="1059">
        <v>3</v>
      </c>
      <c r="Z16" s="1062" t="s">
        <v>359</v>
      </c>
      <c r="AA16" s="1062" t="s">
        <v>172</v>
      </c>
      <c r="AB16" s="1062">
        <f>IF(S16&gt;=1,(W16*12+Y16)-(S16*12+U16)+1,"")</f>
        <v>12</v>
      </c>
      <c r="AC16" s="1086" t="s">
        <v>360</v>
      </c>
      <c r="AD16" s="1065">
        <f>IFERROR(ROUNDDOWN(ROUND(L16*Q16,0)*M16,0)*AB16,"")</f>
        <v>5299644</v>
      </c>
      <c r="AE16" s="1089">
        <f>IFERROR(ROUNDDOWN(ROUNDDOWN(ROUND(L16*VLOOKUP(K16,【参考】数式用２!$A$2:$AC$48,MATCH("処遇改善加算Ⅳ",【参考】数式用２!$C$4:$O$4,0)+2,0),0)*M16,0)*AB16*0.5,0), "")</f>
        <v>1554582</v>
      </c>
      <c r="AF16" s="1074" t="s">
        <v>2584</v>
      </c>
      <c r="AG16" s="1065" t="str">
        <f>IF(AND(AQ16&lt;&gt;"対象外", P16&lt;&gt;""),ROUNDDOWN(ROUND(L16*VLOOKUP(K16,【参考】数式用２!$A$2:$K$48,MATCH("ベア加算あり",【参考】数式用２!$C$4:$K$4,0)+2,0),0)*M16,0)*AB16,"")</f>
        <v/>
      </c>
      <c r="AH16" s="1083"/>
      <c r="AI16" s="1074" t="s">
        <v>2584</v>
      </c>
      <c r="AJ16" s="1074" t="s">
        <v>2584</v>
      </c>
      <c r="AK16" s="1077"/>
      <c r="AL16" s="1080" t="s">
        <v>2542</v>
      </c>
      <c r="AM16" s="693"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対象外</v>
      </c>
      <c r="AV16" s="836" t="str">
        <f>IF(AND(P16&lt;&gt;"処遇改善加算Ⅲ",P16&lt;&gt;"処遇改善加算Ⅳ", P16&lt;&gt;"", AU16&lt;&gt;"対象外"), 1,"")</f>
        <v/>
      </c>
      <c r="AW16" s="836" t="str">
        <f>IFERROR("_"&amp;VLOOKUP(K16, 【参考】数式用２!$AG$2:$AH$48, 2, FALSE), "")</f>
        <v>_22</v>
      </c>
      <c r="AX16" s="1097" t="str">
        <f>IF(AND(P16="処遇改善加算Ⅰ", AL16=""), "未入力","入力済")</f>
        <v>入力済</v>
      </c>
      <c r="AY16" s="1094" t="str">
        <f>G16</f>
        <v>京都市</v>
      </c>
      <c r="AZ16"/>
      <c r="BA16"/>
      <c r="BB16"/>
      <c r="BC16"/>
      <c r="BD16"/>
      <c r="BE16"/>
      <c r="BF16"/>
      <c r="BG16"/>
    </row>
    <row r="17" spans="1:59" ht="14.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2650680081</v>
      </c>
      <c r="C20" s="1110"/>
      <c r="D20" s="1110"/>
      <c r="E20" s="1110"/>
      <c r="F20" s="1110"/>
      <c r="G20" s="1110" t="str">
        <f>IF(基本情報入力シート!L42="", "",基本情報入力シート!L42)</f>
        <v>京都市</v>
      </c>
      <c r="H20" s="1110" t="str">
        <f>IF(基本情報入力シート!Q42="", "",基本情報入力シート!Q42)</f>
        <v>京都府</v>
      </c>
      <c r="I20" s="1110" t="str">
        <f>IF(基本情報入力シート!V42="", "",基本情報入力シート!V42)</f>
        <v>京都市</v>
      </c>
      <c r="J20" s="1110" t="str">
        <f>IF(基本情報入力シート!W42="", "",基本情報入力シート!W42)</f>
        <v>介護老人保健施設フェアウインドきの</v>
      </c>
      <c r="K20" s="1110" t="str">
        <f>IF(基本情報入力シート!X42="", "",基本情報入力シート!X42)</f>
        <v>通所リハビリテーション</v>
      </c>
      <c r="L20" s="1115">
        <f>IF(基本情報入力シート!AC42=0, "",基本情報入力シート!AC42)</f>
        <v>1057257</v>
      </c>
      <c r="M20" s="1118">
        <f>IF(基本情報入力シート!AD42="", "",基本情報入力シート!AD42)</f>
        <v>10.55</v>
      </c>
      <c r="N20" s="1103" t="s">
        <v>2502</v>
      </c>
      <c r="O20" s="1106">
        <f>IFERROR(VLOOKUP(K20,【参考】数式用２!$A$2:$AD$48,MATCH(N20,【参考】数式用２!$C$4:$AD$4,0)+2,0),"")</f>
        <v>8.5999999999999993E-2</v>
      </c>
      <c r="P20" s="1055" t="s">
        <v>2502</v>
      </c>
      <c r="Q20" s="1068">
        <f>IFERROR(VLOOKUP(K20,【参考】数式用２!$A$2:$AC$48,MATCH(P20,【参考】数式用２!$C$4:$AC$4,0)+2,0),"")</f>
        <v>8.5999999999999993E-2</v>
      </c>
      <c r="R20" s="1071" t="s">
        <v>269</v>
      </c>
      <c r="S20" s="1059">
        <v>7</v>
      </c>
      <c r="T20" s="1062" t="s">
        <v>357</v>
      </c>
      <c r="U20" s="1059">
        <v>4</v>
      </c>
      <c r="V20" s="1062" t="s">
        <v>358</v>
      </c>
      <c r="W20" s="1059">
        <v>8</v>
      </c>
      <c r="X20" s="1062" t="s">
        <v>357</v>
      </c>
      <c r="Y20" s="1059">
        <v>3</v>
      </c>
      <c r="Z20" s="1062" t="s">
        <v>359</v>
      </c>
      <c r="AA20" s="1062" t="s">
        <v>172</v>
      </c>
      <c r="AB20" s="1062">
        <f>IF(S20&gt;=1,(W20*12+Y20)-(S20*12+U20)+1,"")</f>
        <v>12</v>
      </c>
      <c r="AC20" s="1086" t="s">
        <v>360</v>
      </c>
      <c r="AD20" s="1065">
        <f>IFERROR(ROUNDDOWN(ROUND(L20*Q20,0)*M20,0)*AB20,"")</f>
        <v>11510976</v>
      </c>
      <c r="AE20" s="1089">
        <f>IFERROR(ROUNDDOWN(ROUNDDOWN(ROUND(L20*VLOOKUP(K20,【参考】数式用２!$A$2:$AC$48,MATCH("処遇改善加算Ⅳ",【参考】数式用２!$C$4:$O$4,0)+2,0),0)*M20,0)*AB20*0.5,0), "")</f>
        <v>3547014</v>
      </c>
      <c r="AF20" s="1074" t="s">
        <v>2584</v>
      </c>
      <c r="AG20" s="1065" t="str">
        <f>IF(AND(AQ20&lt;&gt;"対象外", P20&lt;&gt;""),ROUNDDOWN(ROUND(L20*VLOOKUP(K20,【参考】数式用２!$A$2:$K$48,MATCH("ベア加算あり",【参考】数式用２!$C$4:$K$4,0)+2,0),0)*M20,0)*AB20,"")</f>
        <v/>
      </c>
      <c r="AH20" s="1083"/>
      <c r="AI20" s="1074" t="s">
        <v>2584</v>
      </c>
      <c r="AJ20" s="1074" t="s">
        <v>2584</v>
      </c>
      <c r="AK20" s="1077">
        <v>3</v>
      </c>
      <c r="AL20" s="1080" t="s">
        <v>2542</v>
      </c>
      <c r="AM20" s="693"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f>IF(AND(P20&lt;&gt;"処遇改善加算Ⅲ",P20&lt;&gt;"処遇改善加算Ⅳ", P20&lt;&gt;"", AU20&lt;&gt;"対象外"), 1,"")</f>
        <v>1</v>
      </c>
      <c r="AW20" s="836" t="str">
        <f>IFERROR("_"&amp;VLOOKUP(K20, 【参考】数式用２!$AG$2:$AH$48, 2, FALSE), "")</f>
        <v>_16</v>
      </c>
      <c r="AX20" s="1097" t="str">
        <f>IF(AND(P20="処遇改善加算Ⅰ", AL20=""), "未入力","入力済")</f>
        <v>入力済</v>
      </c>
      <c r="AY20" s="1094" t="str">
        <f>G20</f>
        <v>京都市</v>
      </c>
      <c r="AZ20"/>
      <c r="BA20"/>
      <c r="BB20"/>
      <c r="BC20"/>
      <c r="BD20"/>
      <c r="BE20"/>
      <c r="BF20"/>
      <c r="BG20"/>
    </row>
    <row r="21" spans="1:59" ht="14.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2650680081</v>
      </c>
      <c r="C24" s="1110"/>
      <c r="D24" s="1110"/>
      <c r="E24" s="1110"/>
      <c r="F24" s="1110"/>
      <c r="G24" s="1110" t="str">
        <f>IF(基本情報入力シート!L43="", "",基本情報入力シート!L43)</f>
        <v>京都市</v>
      </c>
      <c r="H24" s="1110" t="str">
        <f>IF(基本情報入力シート!Q43="", "",基本情報入力シート!Q43)</f>
        <v>京都府</v>
      </c>
      <c r="I24" s="1110" t="str">
        <f>IF(基本情報入力シート!V43="", "",基本情報入力シート!V43)</f>
        <v>京都市</v>
      </c>
      <c r="J24" s="1110" t="str">
        <f>IF(基本情報入力シート!W43="", "",基本情報入力シート!W43)</f>
        <v>介護老人保健施設フェアウインドきの</v>
      </c>
      <c r="K24" s="1110" t="str">
        <f>IF(基本情報入力シート!X43="", "",基本情報入力シート!X43)</f>
        <v>介護予防通所リハビリテーション</v>
      </c>
      <c r="L24" s="1115">
        <f>IF(基本情報入力シート!AC43=0, "",基本情報入力シート!AC43)</f>
        <v>55187</v>
      </c>
      <c r="M24" s="1118">
        <f>IF(基本情報入力シート!AD43="", "",基本情報入力シート!AD43)</f>
        <v>10.55</v>
      </c>
      <c r="N24" s="1103" t="s">
        <v>2502</v>
      </c>
      <c r="O24" s="1106">
        <f>IFERROR(VLOOKUP(K24,【参考】数式用２!$A$2:$AD$48,MATCH(N24,【参考】数式用２!$C$4:$AD$4,0)+2,0),"")</f>
        <v>8.5999999999999993E-2</v>
      </c>
      <c r="P24" s="1055" t="s">
        <v>2502</v>
      </c>
      <c r="Q24" s="1068">
        <f>IFERROR(VLOOKUP(K24,【参考】数式用２!$A$2:$AC$48,MATCH(P24,【参考】数式用２!$C$4:$AC$4,0)+2,0),"")</f>
        <v>8.5999999999999993E-2</v>
      </c>
      <c r="R24" s="1071" t="s">
        <v>269</v>
      </c>
      <c r="S24" s="1059">
        <v>7</v>
      </c>
      <c r="T24" s="1062" t="s">
        <v>357</v>
      </c>
      <c r="U24" s="1059">
        <v>4</v>
      </c>
      <c r="V24" s="1062" t="s">
        <v>358</v>
      </c>
      <c r="W24" s="1059">
        <v>8</v>
      </c>
      <c r="X24" s="1062" t="s">
        <v>357</v>
      </c>
      <c r="Y24" s="1059">
        <v>3</v>
      </c>
      <c r="Z24" s="1062" t="s">
        <v>359</v>
      </c>
      <c r="AA24" s="1062" t="s">
        <v>172</v>
      </c>
      <c r="AB24" s="1062">
        <f>IF(S24&gt;=1,(W24*12+Y24)-(S24*12+U24)+1,"")</f>
        <v>12</v>
      </c>
      <c r="AC24" s="1086" t="s">
        <v>360</v>
      </c>
      <c r="AD24" s="1065">
        <f>IFERROR(ROUNDDOWN(ROUND(L24*Q24,0)*M24,0)*AB24,"")</f>
        <v>600840</v>
      </c>
      <c r="AE24" s="1089">
        <f>IFERROR(ROUNDDOWN(ROUNDDOWN(ROUND(L24*VLOOKUP(K24,【参考】数式用２!$A$2:$AC$48,MATCH("処遇改善加算Ⅳ",【参考】数式用２!$C$4:$O$4,0)+2,0),0)*M24,0)*AB24*0.5,0), "")</f>
        <v>185148</v>
      </c>
      <c r="AF24" s="1074" t="s">
        <v>2584</v>
      </c>
      <c r="AG24" s="1065" t="str">
        <f>IF(AND(AQ24&lt;&gt;"対象外", P24&lt;&gt;""),ROUNDDOWN(ROUND(L24*VLOOKUP(K24,【参考】数式用２!$A$2:$K$48,MATCH("ベア加算あり",【参考】数式用２!$C$4:$K$4,0)+2,0),0)*M24,0)*AB24,"")</f>
        <v/>
      </c>
      <c r="AH24" s="1083"/>
      <c r="AI24" s="1074" t="s">
        <v>2584</v>
      </c>
      <c r="AJ24" s="1074" t="s">
        <v>2584</v>
      </c>
      <c r="AK24" s="1077"/>
      <c r="AL24" s="1080" t="s">
        <v>2542</v>
      </c>
      <c r="AM24" s="693"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対象外</v>
      </c>
      <c r="AV24" s="836" t="str">
        <f>IF(AND(P24&lt;&gt;"処遇改善加算Ⅲ",P24&lt;&gt;"処遇改善加算Ⅳ", P24&lt;&gt;"", AU24&lt;&gt;"対象外"), 1,"")</f>
        <v/>
      </c>
      <c r="AW24" s="836" t="str">
        <f>IFERROR("_"&amp;VLOOKUP(K24, 【参考】数式用２!$AG$2:$AH$48, 2, FALSE), "")</f>
        <v>_66</v>
      </c>
      <c r="AX24" s="1097" t="str">
        <f>IF(AND(P24="処遇改善加算Ⅰ", AL24=""), "未入力","入力済")</f>
        <v>入力済</v>
      </c>
      <c r="AY24" s="1094" t="str">
        <f>G24</f>
        <v>京都市</v>
      </c>
      <c r="AZ24"/>
      <c r="BA24"/>
      <c r="BB24"/>
      <c r="BC24"/>
      <c r="BD24"/>
      <c r="BE24"/>
      <c r="BF24"/>
      <c r="BG24"/>
    </row>
    <row r="25" spans="1:59" ht="14.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1" sqref="AO21"/>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イリョウホウジントウモンカイ</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医療法人稲門会</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606-0017</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京都市左京区岩倉上蔵町101</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ウツノミヤ　マサユキ</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宇都宮　将征</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075-712-5252</v>
      </c>
      <c r="L11" s="1296"/>
      <c r="M11" s="1296"/>
      <c r="N11" s="1296"/>
      <c r="O11" s="1296"/>
      <c r="P11" s="1296"/>
      <c r="Q11" s="1296"/>
      <c r="R11" s="1296"/>
      <c r="S11" s="1296"/>
      <c r="T11" s="1297"/>
      <c r="U11" s="1286" t="s">
        <v>29</v>
      </c>
      <c r="V11" s="1287"/>
      <c r="W11" s="1287"/>
      <c r="X11" s="1288"/>
      <c r="Y11" s="1295" t="str">
        <f>IF(基本情報入力シート!L32="","",基本情報入力シート!L32)</f>
        <v>utsunomiya@toumonkai.net</v>
      </c>
      <c r="Z11" s="1296"/>
      <c r="AA11" s="1296"/>
      <c r="AB11" s="1296"/>
      <c r="AC11" s="1296"/>
      <c r="AD11" s="1296"/>
      <c r="AE11" s="1296"/>
      <c r="AF11" s="1296"/>
      <c r="AG11" s="1296"/>
      <c r="AH11" s="1296"/>
      <c r="AI11" s="129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363</v>
      </c>
      <c r="AL13" s="1317"/>
      <c r="AM13" s="1317"/>
      <c r="AN13" s="1317"/>
      <c r="AO13" s="1317"/>
      <c r="AP13" s="1317"/>
      <c r="AQ13" s="1317"/>
      <c r="AR13" s="1317"/>
      <c r="AS13" s="1317"/>
      <c r="AT13" s="1317"/>
      <c r="AU13" s="1317"/>
      <c r="AV13" s="1318"/>
    </row>
    <row r="14" spans="1:55" ht="27.6"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95"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95"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95"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95"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95"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19.95"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19.95"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19.95"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384</v>
      </c>
      <c r="AL35" s="846"/>
      <c r="AM35" s="846"/>
      <c r="AN35" s="846"/>
      <c r="AO35" s="846"/>
      <c r="AP35" s="846"/>
      <c r="AQ35" s="846"/>
      <c r="AR35" s="846"/>
      <c r="AS35" s="846"/>
      <c r="AT35" s="846"/>
      <c r="AU35" s="846"/>
      <c r="AV35" s="847"/>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00000000000003"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5"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医療法人稲門会</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理事長</v>
      </c>
      <c r="T44" s="1236"/>
      <c r="U44" s="1236"/>
      <c r="V44" s="1236"/>
      <c r="W44" s="1236"/>
      <c r="X44" s="904"/>
      <c r="Y44" s="904"/>
      <c r="Z44" s="1236" t="str">
        <f>IF(基本情報入力シート!L27="", "", 基本情報入力シート!L27)</f>
        <v>岡山　好男</v>
      </c>
      <c r="AA44" s="1236"/>
      <c r="AB44" s="1236"/>
      <c r="AC44" s="1236"/>
      <c r="AD44" s="1236"/>
      <c r="AE44" s="1236"/>
      <c r="AF44" s="1236"/>
      <c r="AG44" s="1236"/>
      <c r="AH44" s="123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v>
      </c>
      <c r="AF52" s="1251"/>
      <c r="AG52" s="1251"/>
      <c r="AH52" s="1251"/>
      <c r="AI52" s="1251"/>
      <c r="AJ52" s="1251"/>
      <c r="BA52" s="94">
        <f>COUNTIF(A52:AJ58, "×")</f>
        <v>4</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提出先未選択</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1.95" customHeight="1">
      <c r="A64" s="1248" t="str">
        <f>AE1</f>
        <v/>
      </c>
      <c r="B64" s="1248"/>
      <c r="C64" s="1264">
        <f>IFERROR(SUMIF('別紙様式2-4（補助金 個表） '!$D$11:$D$110, '別紙様式2-3（補助金　総括表）'!A64, '別紙様式2-4（補助金 個表） '!$M$11:$M$110),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'!$F$11:$S$110, 14, FALSE)), "未記入")</f>
        <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5"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5"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5"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5"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5"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5"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5"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5"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5"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5"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5"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5"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5"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5"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5"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5"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5"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5"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5"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5"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5"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5"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5"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5"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5"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5"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5"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5"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5"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5"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5"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5"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5"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5"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5"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5"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5"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5"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5"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5"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5"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5"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5"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5"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topLeftCell="D1" zoomScaleNormal="46" zoomScaleSheetLayoutView="100" zoomScalePageLayoutView="70" workbookViewId="0">
      <selection activeCell="T9" sqref="T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2" customHeight="1" thickBot="1">
      <c r="A3" s="1347" t="s">
        <v>139</v>
      </c>
      <c r="B3" s="1348"/>
      <c r="C3" s="1349" t="str">
        <f>IF(基本情報入力シート!L22="", "", 基本情報入力シート!L22)</f>
        <v>医療法人稲門会</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00000000000003" customHeight="1" thickBot="1">
      <c r="A5" s="1352" t="s">
        <v>410</v>
      </c>
      <c r="B5" s="1352"/>
      <c r="C5" s="1352"/>
      <c r="D5" s="1352"/>
      <c r="E5" s="1353"/>
      <c r="F5" s="590">
        <f>IFERROR(SUM(M:M),"")</f>
        <v>2329564</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t="str">
        <f>IF(C3="", 0, IF(P1="", "提出先未選択", SUMIF(D:D, P1, M:M)))</f>
        <v>提出先未選択</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IF(AND(COUNTA(基本情報入力シート!X40:X139)=COUNTA(基本情報入力シート!AE40:AE139), COUNTIF(I11:I110, "○")=COUNTIF(AH11:AH110, "○")), "○","×"))</f>
        <v>×</v>
      </c>
      <c r="U8" s="909" t="s">
        <v>422</v>
      </c>
      <c r="V8" s="910"/>
      <c r="W8" s="910"/>
      <c r="X8" s="910"/>
      <c r="Y8" s="910"/>
      <c r="Z8" s="910"/>
      <c r="AA8" s="910"/>
      <c r="AB8" s="910"/>
      <c r="AC8" s="910"/>
      <c r="AD8" s="910"/>
      <c r="AE8" s="911"/>
      <c r="AF8" s="145"/>
      <c r="AG8" s="145"/>
      <c r="AH8" s="290"/>
    </row>
    <row r="9" spans="1:38" ht="82.95"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IF(AND(COUNTIFS(D11:D110, P1, I11:I110, "○", R11:R110, "○")=1,COUNTA(N11:Q110)=COUNTA(R11:R110)),  "○","×")))</f>
        <v>提出先未選択</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IF(COUNTIFS(R11:R110, "○", S11:S110, "")=0, "○","×"))</f>
        <v>○</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2650680081</v>
      </c>
      <c r="C11" s="296" t="str">
        <f>IF(基本情報入力シート!L40="","",基本情報入力シート!L40)</f>
        <v>京都市</v>
      </c>
      <c r="D11" s="296" t="str">
        <f>IF(基本情報入力シート!Q40="","",基本情報入力シート!Q40)</f>
        <v>京都府</v>
      </c>
      <c r="E11" s="296" t="str">
        <f>IF(基本情報入力シート!V40="","",基本情報入力シート!V40)</f>
        <v>京都市</v>
      </c>
      <c r="F11" s="296" t="str">
        <f>IF(基本情報入力シート!W40="","",基本情報入力シート!W40)</f>
        <v>介護老人保健施設フェアウインドきの</v>
      </c>
      <c r="G11" s="296" t="str">
        <f>IF(基本情報入力シート!X40="","",基本情報入力シート!X40)</f>
        <v>介護老人保健施設サービス</v>
      </c>
      <c r="H11" s="297" t="str">
        <f>IF(基本情報入力シート!Z40="","",基本情報入力シート!Z40)</f>
        <v>52</v>
      </c>
      <c r="I11" s="298" t="str">
        <f>IF(基本情報入力シート!AE40&lt;&gt;"", 基本情報入力シート!AE40, "")</f>
        <v>○</v>
      </c>
      <c r="J11" s="56">
        <f>IF(基本情報入力シート!AA40="","",基本情報入力シート!AA40)</f>
        <v>3018502</v>
      </c>
      <c r="K11" s="57">
        <f>IF(基本情報入力シート!AD40="","",基本情報入力シート!AD40)</f>
        <v>10.45</v>
      </c>
      <c r="L11" s="58">
        <f>IF(G11="","",VLOOKUP(G11,【参考】数式用!$A$3:$C$46,3,FALSE))</f>
        <v>4.2999999999999997E-2</v>
      </c>
      <c r="M11" s="299">
        <f t="shared" ref="M11:M42" si="0">IFERROR(IF(I11="○",ROUNDDOWN(ROUNDDOWN(J11*K11,0)*L11,0),""), "単価未入力")</f>
        <v>1356363</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！複数の交付対象月を選んでいる、交付対象月が選ばれていない又は補助金を申請予定でないのに交付対象月が選ばれています。</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京都府○</v>
      </c>
      <c r="AJ11" s="301" t="str">
        <f t="shared" ref="AJ11:AJ42" si="1">IF(R11="○", F11, "")</f>
        <v/>
      </c>
    </row>
    <row r="12" spans="1:38" ht="36.75" customHeight="1">
      <c r="A12" s="302">
        <f>A11+1</f>
        <v>2</v>
      </c>
      <c r="B12" s="303" t="str">
        <f>IF(基本情報入力シート!B41="","",基本情報入力シート!B41)</f>
        <v>2650680081</v>
      </c>
      <c r="C12" s="304" t="str">
        <f>IF(基本情報入力シート!L41="","",基本情報入力シート!L41)</f>
        <v>京都市</v>
      </c>
      <c r="D12" s="304" t="str">
        <f>IF(基本情報入力シート!Q41="","",基本情報入力シート!Q41)</f>
        <v>京都府</v>
      </c>
      <c r="E12" s="304" t="str">
        <f>IF(基本情報入力シート!V41="","",基本情報入力シート!V41)</f>
        <v>京都市</v>
      </c>
      <c r="F12" s="304" t="str">
        <f>IF(基本情報入力シート!W41="","",基本情報入力シート!W41)</f>
        <v>介護老人保健施設フェアウインドきの</v>
      </c>
      <c r="G12" s="304" t="str">
        <f>IF(基本情報入力シート!X41="","",基本情報入力シート!X41)</f>
        <v>短期入所療養介護（介護老人保健施設）</v>
      </c>
      <c r="H12" s="297" t="str">
        <f>IF(基本情報入力シート!Z41="","",基本情報入力シート!Z41)</f>
        <v>22</v>
      </c>
      <c r="I12" s="298" t="str">
        <f>IF(基本情報入力シート!AE41&lt;&gt;"", 基本情報入力シート!AE41, "")</f>
        <v>○</v>
      </c>
      <c r="J12" s="56">
        <f>IF(基本情報入力シート!AA41="","",基本情報入力シート!AA41)</f>
        <v>605756</v>
      </c>
      <c r="K12" s="59">
        <f>IF(基本情報入力シート!AD41="","",基本情報入力シート!AD41)</f>
        <v>10.45</v>
      </c>
      <c r="L12" s="58">
        <f>IF(G12="","",VLOOKUP(G12,【参考】数式用!$A$3:$C$46,3,FALSE))</f>
        <v>4.2999999999999997E-2</v>
      </c>
      <c r="M12" s="305">
        <f t="shared" si="0"/>
        <v>272196</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！複数の交付対象月を選んでいる、交付対象月が選ばれていない又は補助金を申請予定でないのに交付対象月が選ばれています。</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京都府○</v>
      </c>
      <c r="AJ12" s="301" t="str">
        <f t="shared" si="1"/>
        <v/>
      </c>
    </row>
    <row r="13" spans="1:38" ht="36.75" customHeight="1">
      <c r="A13" s="302">
        <f t="shared" ref="A13:A76" si="6">A12+1</f>
        <v>3</v>
      </c>
      <c r="B13" s="303" t="str">
        <f>IF(基本情報入力シート!B42="","",基本情報入力シート!B42)</f>
        <v>2650680081</v>
      </c>
      <c r="C13" s="304" t="str">
        <f>IF(基本情報入力シート!L42="","",基本情報入力シート!L42)</f>
        <v>京都市</v>
      </c>
      <c r="D13" s="304" t="str">
        <f>IF(基本情報入力シート!Q42="","",基本情報入力シート!Q42)</f>
        <v>京都府</v>
      </c>
      <c r="E13" s="304" t="str">
        <f>IF(基本情報入力シート!V42="","",基本情報入力シート!V42)</f>
        <v>京都市</v>
      </c>
      <c r="F13" s="304" t="str">
        <f>IF(基本情報入力シート!W42="","",基本情報入力シート!W42)</f>
        <v>介護老人保健施設フェアウインドきの</v>
      </c>
      <c r="G13" s="304" t="str">
        <f>IF(基本情報入力シート!X42="","",基本情報入力シート!X42)</f>
        <v>通所リハビリテーション</v>
      </c>
      <c r="H13" s="297" t="str">
        <f>IF(基本情報入力シート!Z42="","",基本情報入力シート!Z42)</f>
        <v>16</v>
      </c>
      <c r="I13" s="298" t="str">
        <f>IF(基本情報入力シート!AE42&lt;&gt;"", 基本情報入力シート!AE42, "")</f>
        <v>○</v>
      </c>
      <c r="J13" s="56">
        <f>IF(基本情報入力シート!AA42="","",基本情報入力シート!AA42)</f>
        <v>1148180</v>
      </c>
      <c r="K13" s="59">
        <f>IF(基本情報入力シート!AD42="","",基本情報入力シート!AD42)</f>
        <v>10.55</v>
      </c>
      <c r="L13" s="58">
        <f>IF(G13="","",VLOOKUP(G13,【参考】数式用!$A$3:$C$46,3,FALSE))</f>
        <v>5.5E-2</v>
      </c>
      <c r="M13" s="305">
        <f t="shared" si="0"/>
        <v>666231</v>
      </c>
      <c r="N13" s="271"/>
      <c r="O13" s="272"/>
      <c r="P13" s="272"/>
      <c r="Q13" s="222"/>
      <c r="R13" s="222"/>
      <c r="S13" s="225"/>
      <c r="T13" s="61"/>
      <c r="U13" s="1199" t="str">
        <f t="shared" si="2"/>
        <v>！複数の交付対象月を選んでいる、交付対象月が選ばれていない又は補助金を申請予定でないのに交付対象月が選ばれています。</v>
      </c>
      <c r="V13" s="1199"/>
      <c r="W13" s="1199"/>
      <c r="X13" s="1199"/>
      <c r="Y13" s="1199"/>
      <c r="Z13" s="1199"/>
      <c r="AA13" s="1199"/>
      <c r="AB13" s="1199"/>
      <c r="AC13" s="1199"/>
      <c r="AD13" s="1199"/>
      <c r="AE13" s="1199"/>
      <c r="AG13" s="313" t="str">
        <f t="shared" si="3"/>
        <v>色付け</v>
      </c>
      <c r="AH13" s="313" t="str">
        <f t="shared" si="4"/>
        <v>×</v>
      </c>
      <c r="AI13" s="300" t="str">
        <f t="shared" si="5"/>
        <v>京都府○</v>
      </c>
      <c r="AJ13" s="301" t="str">
        <f t="shared" si="1"/>
        <v/>
      </c>
    </row>
    <row r="14" spans="1:38" ht="36.75" customHeight="1">
      <c r="A14" s="302">
        <f>A13+1</f>
        <v>4</v>
      </c>
      <c r="B14" s="303" t="str">
        <f>IF(基本情報入力シート!B43="","",基本情報入力シート!B43)</f>
        <v>2650680081</v>
      </c>
      <c r="C14" s="304" t="str">
        <f>IF(基本情報入力シート!L43="","",基本情報入力シート!L43)</f>
        <v>京都市</v>
      </c>
      <c r="D14" s="304" t="str">
        <f>IF(基本情報入力シート!Q43="","",基本情報入力シート!Q43)</f>
        <v>京都府</v>
      </c>
      <c r="E14" s="304" t="str">
        <f>IF(基本情報入力シート!V43="","",基本情報入力シート!V43)</f>
        <v>京都市</v>
      </c>
      <c r="F14" s="304" t="str">
        <f>IF(基本情報入力シート!W43="","",基本情報入力シート!W43)</f>
        <v>介護老人保健施設フェアウインドきの</v>
      </c>
      <c r="G14" s="304" t="str">
        <f>IF(基本情報入力シート!X43="","",基本情報入力シート!X43)</f>
        <v>介護予防通所リハビリテーション</v>
      </c>
      <c r="H14" s="297" t="str">
        <f>IF(基本情報入力シート!Z43="","",基本情報入力シート!Z43)</f>
        <v>66</v>
      </c>
      <c r="I14" s="298" t="str">
        <f>IF(基本情報入力シート!AE43&lt;&gt;"", 基本情報入力シート!AE43, "")</f>
        <v>○</v>
      </c>
      <c r="J14" s="56">
        <f>IF(基本情報入力シート!AA43="","",基本情報入力シート!AA43)</f>
        <v>59931</v>
      </c>
      <c r="K14" s="59">
        <f>IF(基本情報入力シート!AD43="","",基本情報入力シート!AD43)</f>
        <v>10.55</v>
      </c>
      <c r="L14" s="58">
        <f>IF(G14="","",VLOOKUP(G14,【参考】数式用!$A$3:$C$46,3,FALSE))</f>
        <v>5.5E-2</v>
      </c>
      <c r="M14" s="305">
        <f t="shared" si="0"/>
        <v>34774</v>
      </c>
      <c r="N14" s="271"/>
      <c r="O14" s="272"/>
      <c r="P14" s="272"/>
      <c r="Q14" s="222"/>
      <c r="R14" s="222"/>
      <c r="S14" s="225"/>
      <c r="T14" s="61"/>
      <c r="U14" s="1199" t="str">
        <f t="shared" si="2"/>
        <v>！複数の交付対象月を選んでいる、交付対象月が選ばれていない又は補助金を申請予定でないのに交付対象月が選ばれています。</v>
      </c>
      <c r="V14" s="1199"/>
      <c r="W14" s="1199"/>
      <c r="X14" s="1199"/>
      <c r="Y14" s="1199"/>
      <c r="Z14" s="1199"/>
      <c r="AA14" s="1199"/>
      <c r="AB14" s="1199"/>
      <c r="AC14" s="1199"/>
      <c r="AD14" s="1199"/>
      <c r="AE14" s="1199"/>
      <c r="AG14" s="313" t="str">
        <f t="shared" si="3"/>
        <v>色付け</v>
      </c>
      <c r="AH14" s="313" t="str">
        <f t="shared" si="4"/>
        <v>×</v>
      </c>
      <c r="AI14" s="300" t="str">
        <f t="shared" si="5"/>
        <v>京都府○</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sehkOY/qFwwr2OjEZCl1fZfLVOfYS2/Gc8Ny1FdDm5s1mWNh037/GjHV7qU5jIbB3nUmtwnpa6+4uv9zy6iTZw==" saltValue="6Pt0e3iBn3Tk3rVXFcN+j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E12" sqref="E12:I12"/>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433</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1" t="s">
        <v>434</v>
      </c>
      <c r="C3" s="1401"/>
      <c r="D3" s="1401"/>
      <c r="E3" s="1401"/>
      <c r="F3" s="1401"/>
      <c r="G3" s="1401"/>
      <c r="H3" s="1401"/>
      <c r="I3" s="1401"/>
      <c r="J3" s="558"/>
    </row>
    <row r="4" spans="1:10" s="559" customFormat="1" ht="25.2" customHeight="1">
      <c r="A4" s="558"/>
      <c r="B4" s="1397" t="s">
        <v>435</v>
      </c>
      <c r="C4" s="1398"/>
      <c r="D4" s="1398"/>
      <c r="E4" s="1398"/>
      <c r="F4" s="1398"/>
      <c r="G4" s="1398"/>
      <c r="H4" s="1398"/>
      <c r="I4" s="1399"/>
      <c r="J4" s="558"/>
    </row>
    <row r="5" spans="1:10" s="559" customFormat="1" ht="25.2" customHeight="1">
      <c r="A5" s="558"/>
      <c r="B5" s="560" t="s">
        <v>436</v>
      </c>
      <c r="C5" s="1397" t="s">
        <v>437</v>
      </c>
      <c r="D5" s="1398"/>
      <c r="E5" s="1398"/>
      <c r="F5" s="1398"/>
      <c r="G5" s="1398"/>
      <c r="H5" s="1398"/>
      <c r="I5" s="1399"/>
      <c r="J5" s="558"/>
    </row>
    <row r="6" spans="1:10" s="559" customFormat="1" ht="25.2" customHeight="1">
      <c r="A6" s="558"/>
      <c r="B6" s="560" t="s">
        <v>438</v>
      </c>
      <c r="C6" s="1397" t="s">
        <v>439</v>
      </c>
      <c r="D6" s="1398"/>
      <c r="E6" s="1398"/>
      <c r="F6" s="1398"/>
      <c r="G6" s="1398"/>
      <c r="H6" s="1398"/>
      <c r="I6" s="1399"/>
      <c r="J6" s="558"/>
    </row>
    <row r="7" spans="1:10" s="559" customFormat="1" ht="25.2" customHeight="1">
      <c r="A7" s="558"/>
      <c r="B7" s="560" t="s">
        <v>440</v>
      </c>
      <c r="C7" s="1397" t="s">
        <v>441</v>
      </c>
      <c r="D7" s="1398"/>
      <c r="E7" s="1398"/>
      <c r="F7" s="1398"/>
      <c r="G7" s="1398"/>
      <c r="H7" s="1398"/>
      <c r="I7" s="1399"/>
      <c r="J7" s="558"/>
    </row>
    <row r="8" spans="1:10" s="559" customFormat="1" ht="25.2"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2" customHeight="1">
      <c r="A10" s="558"/>
      <c r="B10" s="1397" t="s">
        <v>443</v>
      </c>
      <c r="C10" s="1398"/>
      <c r="D10" s="1398"/>
      <c r="E10" s="1398"/>
      <c r="F10" s="1398"/>
      <c r="G10" s="1398"/>
      <c r="H10" s="1398"/>
      <c r="I10" s="1399"/>
      <c r="J10" s="558"/>
    </row>
    <row r="11" spans="1:10" s="559" customFormat="1" ht="56.4" customHeight="1">
      <c r="A11" s="558"/>
      <c r="B11" s="1402" t="s">
        <v>436</v>
      </c>
      <c r="C11" s="1394" t="s">
        <v>444</v>
      </c>
      <c r="D11" s="1395"/>
      <c r="E11" s="1395"/>
      <c r="F11" s="1395"/>
      <c r="G11" s="1395"/>
      <c r="H11" s="1395"/>
      <c r="I11" s="1396"/>
      <c r="J11" s="558"/>
    </row>
    <row r="12" spans="1:10" s="559" customFormat="1" ht="54.6" customHeight="1">
      <c r="A12" s="558"/>
      <c r="B12" s="1402"/>
      <c r="C12" s="1403" t="s">
        <v>445</v>
      </c>
      <c r="D12" s="560" t="s">
        <v>145</v>
      </c>
      <c r="E12" s="1394" t="s">
        <v>446</v>
      </c>
      <c r="F12" s="1395"/>
      <c r="G12" s="1395"/>
      <c r="H12" s="1395"/>
      <c r="I12" s="1396"/>
    </row>
    <row r="13" spans="1:10" s="559" customFormat="1" ht="32.4" customHeight="1">
      <c r="A13" s="558"/>
      <c r="B13" s="1402"/>
      <c r="C13" s="1404"/>
      <c r="D13" s="560" t="s">
        <v>148</v>
      </c>
      <c r="E13" s="1394" t="s">
        <v>447</v>
      </c>
      <c r="F13" s="1395"/>
      <c r="G13" s="1395"/>
      <c r="H13" s="1395"/>
      <c r="I13" s="1396"/>
    </row>
    <row r="14" spans="1:10" s="559" customFormat="1" ht="25.2" customHeight="1">
      <c r="A14" s="558"/>
      <c r="B14" s="560" t="s">
        <v>438</v>
      </c>
      <c r="C14" s="1397" t="s">
        <v>448</v>
      </c>
      <c r="D14" s="1398"/>
      <c r="E14" s="1398"/>
      <c r="F14" s="1398"/>
      <c r="G14" s="1398"/>
      <c r="H14" s="1398"/>
      <c r="I14" s="1399"/>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 customHeight="1">
      <c r="A17" s="558"/>
      <c r="B17" s="565" t="s">
        <v>436</v>
      </c>
      <c r="C17" s="1394" t="s">
        <v>450</v>
      </c>
      <c r="D17" s="1395"/>
      <c r="E17" s="1395"/>
      <c r="F17" s="1395"/>
      <c r="G17" s="1395"/>
      <c r="H17" s="1395"/>
      <c r="I17" s="1396"/>
      <c r="J17" s="566"/>
    </row>
    <row r="18" spans="1:10" s="559" customFormat="1" ht="49.95" customHeight="1">
      <c r="A18" s="558"/>
      <c r="B18" s="567"/>
      <c r="C18" s="1403" t="s">
        <v>451</v>
      </c>
      <c r="D18" s="560" t="s">
        <v>145</v>
      </c>
      <c r="E18" s="1394" t="s">
        <v>452</v>
      </c>
      <c r="F18" s="1395"/>
      <c r="G18" s="1395"/>
      <c r="H18" s="1395"/>
      <c r="I18" s="1396"/>
    </row>
    <row r="19" spans="1:10" s="559" customFormat="1" ht="76.2" customHeight="1">
      <c r="A19" s="558"/>
      <c r="B19" s="567"/>
      <c r="C19" s="1405"/>
      <c r="D19" s="560" t="s">
        <v>148</v>
      </c>
      <c r="E19" s="1394" t="s">
        <v>453</v>
      </c>
      <c r="F19" s="1395"/>
      <c r="G19" s="1395"/>
      <c r="H19" s="1395"/>
      <c r="I19" s="1396"/>
    </row>
    <row r="20" spans="1:10" s="559" customFormat="1" ht="78.599999999999994" customHeight="1">
      <c r="A20" s="558"/>
      <c r="B20" s="568"/>
      <c r="C20" s="1404"/>
      <c r="D20" s="560" t="s">
        <v>151</v>
      </c>
      <c r="E20" s="1394" t="s">
        <v>454</v>
      </c>
      <c r="F20" s="1395"/>
      <c r="G20" s="1395"/>
      <c r="H20" s="1395"/>
      <c r="I20" s="1396"/>
    </row>
    <row r="21" spans="1:10" s="559" customFormat="1" ht="25.2"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200000000000003" customHeight="1">
      <c r="A23" s="535" t="s">
        <v>455</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2" customHeight="1">
      <c r="A27" s="544" t="s">
        <v>465</v>
      </c>
      <c r="B27" s="545" t="s">
        <v>466</v>
      </c>
      <c r="C27" s="546" t="s">
        <v>467</v>
      </c>
      <c r="D27" s="1413" t="s">
        <v>468</v>
      </c>
      <c r="E27" s="1414"/>
      <c r="F27" s="546" t="s">
        <v>469</v>
      </c>
      <c r="G27" s="546" t="s">
        <v>470</v>
      </c>
      <c r="H27" s="546" t="s">
        <v>471</v>
      </c>
      <c r="I27" s="546" t="s">
        <v>472</v>
      </c>
    </row>
    <row r="28" spans="1:10" ht="145.94999999999999"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3.4">
      <c r="A32" s="1409" t="s">
        <v>501</v>
      </c>
      <c r="B32" s="1409"/>
      <c r="C32" s="1409"/>
      <c r="D32" s="1409"/>
      <c r="E32" s="1409"/>
      <c r="F32" s="1409"/>
      <c r="G32" s="1409"/>
      <c r="H32" s="1409"/>
      <c r="I32" s="1409"/>
    </row>
    <row r="33" spans="1:9" ht="23.4">
      <c r="A33" s="547"/>
      <c r="B33" s="547"/>
      <c r="C33" s="547"/>
      <c r="D33" s="547"/>
      <c r="E33" s="547"/>
      <c r="F33" s="547"/>
      <c r="G33" s="547"/>
      <c r="H33" s="547"/>
      <c r="I33" s="547"/>
    </row>
    <row r="34" spans="1:9" ht="23.4">
      <c r="A34" s="548" t="s">
        <v>502</v>
      </c>
      <c r="B34" s="548"/>
      <c r="C34" s="548"/>
      <c r="D34" s="548"/>
      <c r="E34" s="548"/>
      <c r="F34" s="548"/>
      <c r="G34" s="548"/>
      <c r="H34" s="548"/>
      <c r="I34" s="548"/>
    </row>
    <row r="35" spans="1:9" ht="23.4">
      <c r="A35" s="1406" t="s">
        <v>503</v>
      </c>
      <c r="B35" s="1407"/>
      <c r="C35" s="1407"/>
      <c r="D35" s="1407"/>
      <c r="E35" s="1407"/>
      <c r="F35" s="1407"/>
      <c r="G35" s="1407"/>
      <c r="H35" s="1407"/>
      <c r="I35" s="1408"/>
    </row>
    <row r="36" spans="1:9" ht="28.2">
      <c r="A36" s="549"/>
      <c r="B36" s="539"/>
      <c r="C36" s="539"/>
      <c r="D36" s="539"/>
      <c r="E36" s="539"/>
      <c r="F36" s="539"/>
      <c r="G36" s="539"/>
      <c r="H36" s="539"/>
      <c r="I36" s="539"/>
    </row>
    <row r="37" spans="1:9" ht="40.200000000000003" customHeight="1">
      <c r="A37" s="550" t="s">
        <v>504</v>
      </c>
      <c r="B37" s="539"/>
      <c r="C37" s="551"/>
      <c r="D37" s="551"/>
      <c r="E37" s="539"/>
      <c r="F37" s="539"/>
      <c r="G37" s="539"/>
      <c r="H37" s="539"/>
      <c r="I37" s="539"/>
    </row>
    <row r="38" spans="1:9" ht="46.8">
      <c r="A38" s="1410" t="s">
        <v>505</v>
      </c>
      <c r="B38" s="1411"/>
      <c r="C38" s="552" t="s">
        <v>459</v>
      </c>
      <c r="D38" s="553" t="s">
        <v>506</v>
      </c>
      <c r="E38" s="553" t="s">
        <v>507</v>
      </c>
      <c r="F38" s="553" t="s">
        <v>508</v>
      </c>
      <c r="G38" s="554"/>
      <c r="H38" s="554"/>
      <c r="I38" s="554"/>
    </row>
    <row r="39" spans="1:9" ht="93.6">
      <c r="A39" s="1412" t="s">
        <v>509</v>
      </c>
      <c r="B39" s="1411"/>
      <c r="C39" s="555" t="s">
        <v>481</v>
      </c>
      <c r="D39" s="555" t="s">
        <v>485</v>
      </c>
      <c r="E39" s="555" t="s">
        <v>510</v>
      </c>
      <c r="F39" s="555" t="s">
        <v>511</v>
      </c>
      <c r="G39" s="554"/>
      <c r="H39" s="554"/>
      <c r="I39" s="554"/>
    </row>
    <row r="40" spans="1:9" ht="82.2">
      <c r="A40" s="1412" t="s">
        <v>512</v>
      </c>
      <c r="B40" s="1411"/>
      <c r="C40" s="555" t="s">
        <v>488</v>
      </c>
      <c r="D40" s="555" t="s">
        <v>492</v>
      </c>
      <c r="E40" s="555" t="s">
        <v>513</v>
      </c>
      <c r="F40" s="556" t="s">
        <v>514</v>
      </c>
      <c r="G40" s="539"/>
      <c r="H40" s="539"/>
      <c r="I40" s="539"/>
    </row>
    <row r="41" spans="1:9" ht="82.2">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
      <c r="A43" s="1415" t="s">
        <v>501</v>
      </c>
      <c r="B43" s="1415"/>
      <c r="C43" s="1415"/>
      <c r="D43" s="1415"/>
      <c r="E43" s="1415"/>
      <c r="F43" s="1415"/>
      <c r="G43" s="1415"/>
      <c r="H43" s="1415"/>
      <c r="I43" s="1415"/>
    </row>
    <row r="44" spans="1:9" ht="23.4">
      <c r="A44" s="548" t="s">
        <v>502</v>
      </c>
      <c r="B44" s="548"/>
      <c r="C44" s="548"/>
      <c r="D44" s="548"/>
      <c r="E44" s="548"/>
      <c r="F44" s="548"/>
      <c r="G44" s="548"/>
      <c r="H44" s="548"/>
      <c r="I44" s="548"/>
    </row>
    <row r="45" spans="1:9" ht="23.4">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8"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8"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8"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8"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8"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8"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8"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8"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6"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6"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e60fd174-b192-4fdb-8980-a9c623028ceb"/>
    <ds:schemaRef ds:uri="263dbbe5-076b-4606-a03b-9598f5f2f35a"/>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C0E3E313-A78B-4202-9EAB-A31E11501E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2025-03-15T02:02:12Z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